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firstSheet="6" activeTab="11"/>
  </bookViews>
  <sheets>
    <sheet name="TK-18C1" sheetId="1" r:id="rId1"/>
    <sheet name="3.1-khoa2018-C1" sheetId="6" r:id="rId2"/>
    <sheet name="3.1-khoa2018-C2" sheetId="15" r:id="rId3"/>
    <sheet name="TK-18C2" sheetId="17" r:id="rId4"/>
    <sheet name="TK-18T4" sheetId="9" r:id="rId5"/>
    <sheet name="3.1-khoa2018-T4" sheetId="10" r:id="rId6"/>
    <sheet name="3.1-khoa2018-T2" sheetId="13" r:id="rId7"/>
    <sheet name="TK-18T2" sheetId="18" r:id="rId8"/>
    <sheet name="3.7-khoa2018-C1" sheetId="11" r:id="rId9"/>
    <sheet name="3.7-khoa2018-T4" sheetId="12" r:id="rId10"/>
    <sheet name="3.7-khoa2018-T2" sheetId="14" r:id="rId11"/>
    <sheet name="3.7-khoa2018-C2" sheetId="16" r:id="rId12"/>
  </sheets>
  <definedNames>
    <definedName name="_xlnm.Print_Titles" localSheetId="1">'3.1-khoa2018-C1'!#REF!</definedName>
    <definedName name="_xlnm.Print_Titles" localSheetId="2">'3.1-khoa2018-C2'!#REF!</definedName>
    <definedName name="_xlnm.Print_Titles" localSheetId="6">'3.1-khoa2018-T2'!#REF!</definedName>
    <definedName name="_xlnm.Print_Titles" localSheetId="5">'3.1-khoa2018-T4'!#REF!</definedName>
    <definedName name="_xlnm.Print_Titles" localSheetId="11">'3.7-khoa2018-C2'!#REF!</definedName>
    <definedName name="_xlnm.Print_Titles" localSheetId="0">'TK-18C1'!$2:$2</definedName>
    <definedName name="_xlnm.Print_Titles" localSheetId="4">'TK-18T4'!$2:$2</definedName>
  </definedNames>
  <calcPr calcId="144525"/>
</workbook>
</file>

<file path=xl/calcChain.xml><?xml version="1.0" encoding="utf-8"?>
<calcChain xmlns="http://schemas.openxmlformats.org/spreadsheetml/2006/main">
  <c r="O4" i="17" l="1"/>
  <c r="O5" i="17"/>
  <c r="O6" i="17"/>
  <c r="O7" i="17"/>
  <c r="O8" i="17"/>
  <c r="O9" i="17"/>
  <c r="O3" i="17"/>
  <c r="Q3" i="18"/>
  <c r="R4" i="9"/>
  <c r="R5" i="9"/>
  <c r="R7" i="9"/>
  <c r="R9" i="9"/>
  <c r="R10" i="9"/>
  <c r="R11" i="9"/>
  <c r="R12" i="9"/>
  <c r="R16" i="9"/>
  <c r="R18" i="9"/>
  <c r="R19" i="9"/>
  <c r="R20" i="9"/>
  <c r="R21" i="9"/>
  <c r="R22" i="9"/>
  <c r="R23" i="9"/>
  <c r="R24" i="9"/>
  <c r="R25" i="9"/>
  <c r="R26" i="9"/>
  <c r="R27" i="9"/>
  <c r="R28" i="9"/>
  <c r="R29" i="9"/>
  <c r="R3" i="9"/>
  <c r="H4" i="6"/>
  <c r="R4" i="1" s="1"/>
  <c r="H5" i="6"/>
  <c r="R5" i="1" s="1"/>
  <c r="H6" i="6"/>
  <c r="H7" i="6"/>
  <c r="R7" i="1" s="1"/>
  <c r="R8" i="1"/>
  <c r="R11" i="1"/>
  <c r="R13" i="1"/>
  <c r="R16" i="1"/>
  <c r="R17" i="1"/>
  <c r="R20" i="1"/>
  <c r="R28" i="1"/>
  <c r="R29" i="1"/>
  <c r="R3" i="1"/>
  <c r="R6" i="1"/>
  <c r="R9" i="1"/>
  <c r="R10" i="1"/>
  <c r="R14" i="1"/>
  <c r="R15" i="1"/>
  <c r="R18" i="1"/>
  <c r="R19" i="1"/>
  <c r="R22" i="1"/>
  <c r="R23" i="1"/>
  <c r="R25" i="1"/>
  <c r="R26" i="1"/>
  <c r="O4" i="9" l="1"/>
  <c r="O5" i="9"/>
  <c r="O7" i="9"/>
  <c r="O9" i="9"/>
  <c r="O10" i="9"/>
  <c r="O11" i="9"/>
  <c r="O12" i="9"/>
  <c r="O16" i="9"/>
  <c r="O18" i="9"/>
  <c r="O19" i="9"/>
  <c r="O20" i="9"/>
  <c r="O21" i="9"/>
  <c r="O22" i="9"/>
  <c r="O23" i="9"/>
  <c r="O24" i="9"/>
  <c r="O25" i="9"/>
  <c r="O26" i="9"/>
  <c r="O27" i="9"/>
  <c r="O28" i="9"/>
  <c r="O29" i="9"/>
  <c r="L3" i="18"/>
  <c r="N3" i="18" s="1"/>
  <c r="O17" i="18"/>
  <c r="Q17" i="18" s="1"/>
  <c r="N17" i="18"/>
  <c r="G17" i="18"/>
  <c r="I17" i="18" s="1"/>
  <c r="F17" i="18"/>
  <c r="F3" i="18"/>
  <c r="H3" i="18" s="1"/>
  <c r="H4" i="18" s="1"/>
  <c r="E3" i="18"/>
  <c r="N7" i="17"/>
  <c r="M9" i="17"/>
  <c r="L9" i="17"/>
  <c r="K4" i="17"/>
  <c r="M4" i="17" s="1"/>
  <c r="K5" i="17"/>
  <c r="N5" i="17" s="1"/>
  <c r="K6" i="17"/>
  <c r="N6" i="17" s="1"/>
  <c r="K7" i="17"/>
  <c r="L7" i="17" s="1"/>
  <c r="K8" i="17"/>
  <c r="M8" i="17" s="1"/>
  <c r="K9" i="17"/>
  <c r="K3" i="17"/>
  <c r="M3" i="17" s="1"/>
  <c r="F9" i="17"/>
  <c r="E9" i="17"/>
  <c r="F8" i="17"/>
  <c r="E8" i="17"/>
  <c r="F7" i="17"/>
  <c r="E7" i="17"/>
  <c r="F6" i="17"/>
  <c r="E6" i="17"/>
  <c r="F5" i="17"/>
  <c r="E5" i="17"/>
  <c r="F4" i="17"/>
  <c r="E4" i="17"/>
  <c r="F3" i="17"/>
  <c r="E3" i="17"/>
  <c r="N4" i="9"/>
  <c r="N5" i="9"/>
  <c r="N7" i="9"/>
  <c r="N9" i="9"/>
  <c r="N10" i="9"/>
  <c r="N11" i="9"/>
  <c r="N12" i="9"/>
  <c r="N16" i="9"/>
  <c r="N18" i="9"/>
  <c r="N19" i="9"/>
  <c r="N20" i="9"/>
  <c r="N21" i="9"/>
  <c r="N22" i="9"/>
  <c r="N23" i="9"/>
  <c r="N24" i="9"/>
  <c r="N25" i="9"/>
  <c r="N26" i="9"/>
  <c r="N27" i="9"/>
  <c r="N28" i="9"/>
  <c r="N29" i="9"/>
  <c r="O3" i="9"/>
  <c r="N3" i="9"/>
  <c r="M4" i="9"/>
  <c r="M5" i="9"/>
  <c r="M7" i="9"/>
  <c r="M9" i="9"/>
  <c r="M10" i="9"/>
  <c r="M11" i="9"/>
  <c r="M12" i="9"/>
  <c r="M16" i="9"/>
  <c r="M18" i="9"/>
  <c r="M19" i="9"/>
  <c r="M20" i="9"/>
  <c r="M21" i="9"/>
  <c r="M22" i="9"/>
  <c r="M23" i="9"/>
  <c r="M24" i="9"/>
  <c r="M25" i="9"/>
  <c r="M26" i="9"/>
  <c r="M27" i="9"/>
  <c r="M28" i="9"/>
  <c r="M29" i="9"/>
  <c r="M3" i="9"/>
  <c r="L29" i="9"/>
  <c r="K29" i="9"/>
  <c r="L28" i="9"/>
  <c r="K28" i="9"/>
  <c r="L27" i="9"/>
  <c r="K27" i="9"/>
  <c r="L26" i="9"/>
  <c r="K26" i="9"/>
  <c r="L25" i="9"/>
  <c r="K25" i="9"/>
  <c r="L24" i="9"/>
  <c r="K24" i="9"/>
  <c r="L23" i="9"/>
  <c r="K23" i="9"/>
  <c r="L22" i="9"/>
  <c r="K22" i="9"/>
  <c r="L21" i="9"/>
  <c r="K21" i="9"/>
  <c r="L20" i="9"/>
  <c r="K20" i="9"/>
  <c r="L19" i="9"/>
  <c r="K19" i="9"/>
  <c r="L18" i="9"/>
  <c r="K18" i="9"/>
  <c r="L16" i="9"/>
  <c r="K16" i="9"/>
  <c r="L12" i="9"/>
  <c r="K12" i="9"/>
  <c r="L11" i="9"/>
  <c r="K11" i="9"/>
  <c r="L10" i="9"/>
  <c r="K10" i="9"/>
  <c r="L9" i="9"/>
  <c r="K9" i="9"/>
  <c r="L7" i="9"/>
  <c r="K7" i="9"/>
  <c r="L5" i="9"/>
  <c r="K5" i="9"/>
  <c r="L4" i="9"/>
  <c r="K4" i="9"/>
  <c r="L3" i="9"/>
  <c r="K3" i="9"/>
  <c r="U4" i="1"/>
  <c r="U5" i="1"/>
  <c r="X5" i="1" s="1"/>
  <c r="Z5" i="1" s="1"/>
  <c r="U6" i="1"/>
  <c r="U7" i="1"/>
  <c r="U8" i="1"/>
  <c r="U9" i="1"/>
  <c r="U10" i="1"/>
  <c r="U11" i="1"/>
  <c r="U12" i="1"/>
  <c r="W12" i="1" s="1"/>
  <c r="U13" i="1"/>
  <c r="U14" i="1"/>
  <c r="W14" i="1" s="1"/>
  <c r="U15" i="1"/>
  <c r="U16" i="1"/>
  <c r="U17" i="1"/>
  <c r="U18" i="1"/>
  <c r="U19" i="1"/>
  <c r="U20" i="1"/>
  <c r="X20" i="1" s="1"/>
  <c r="Z20" i="1" s="1"/>
  <c r="U21" i="1"/>
  <c r="U22" i="1"/>
  <c r="W22" i="1" s="1"/>
  <c r="U23" i="1"/>
  <c r="U24" i="1"/>
  <c r="U25" i="1"/>
  <c r="X25" i="1" s="1"/>
  <c r="Z25" i="1" s="1"/>
  <c r="U26" i="1"/>
  <c r="U27" i="1"/>
  <c r="U28" i="1"/>
  <c r="U29" i="1"/>
  <c r="X29" i="1" s="1"/>
  <c r="Z29" i="1" s="1"/>
  <c r="U3" i="1"/>
  <c r="T28" i="1"/>
  <c r="X27" i="1"/>
  <c r="T26" i="1"/>
  <c r="T25" i="1"/>
  <c r="X24" i="1"/>
  <c r="X23" i="1"/>
  <c r="Z23" i="1" s="1"/>
  <c r="T23" i="1"/>
  <c r="X21" i="1"/>
  <c r="T20" i="1"/>
  <c r="T19" i="1"/>
  <c r="T18" i="1"/>
  <c r="T17" i="1"/>
  <c r="W16" i="1"/>
  <c r="T16" i="1"/>
  <c r="T15" i="1"/>
  <c r="T13" i="1"/>
  <c r="X12" i="1"/>
  <c r="T11" i="1"/>
  <c r="T10" i="1"/>
  <c r="X9" i="1"/>
  <c r="Z9" i="1" s="1"/>
  <c r="T9" i="1"/>
  <c r="T8" i="1"/>
  <c r="T7" i="1"/>
  <c r="T6" i="1"/>
  <c r="T5" i="1"/>
  <c r="T4" i="1"/>
  <c r="T3" i="1"/>
  <c r="O4" i="1"/>
  <c r="O5" i="1"/>
  <c r="O6" i="1"/>
  <c r="O7" i="1"/>
  <c r="O8" i="1"/>
  <c r="O9" i="1"/>
  <c r="O10" i="1"/>
  <c r="O11" i="1"/>
  <c r="O13" i="1"/>
  <c r="O14" i="1"/>
  <c r="O15" i="1"/>
  <c r="O16" i="1"/>
  <c r="O17" i="1"/>
  <c r="O18" i="1"/>
  <c r="O19" i="1"/>
  <c r="O20" i="1"/>
  <c r="O22" i="1"/>
  <c r="O23" i="1"/>
  <c r="O25" i="1"/>
  <c r="O26" i="1"/>
  <c r="O28" i="1"/>
  <c r="O29" i="1"/>
  <c r="O3" i="1"/>
  <c r="N4" i="1"/>
  <c r="N5" i="1"/>
  <c r="N6" i="1"/>
  <c r="N7" i="1"/>
  <c r="N8" i="1"/>
  <c r="N9" i="1"/>
  <c r="N10" i="1"/>
  <c r="N11" i="1"/>
  <c r="N13" i="1"/>
  <c r="N14" i="1"/>
  <c r="N15" i="1"/>
  <c r="N16" i="1"/>
  <c r="N17" i="1"/>
  <c r="N18" i="1"/>
  <c r="N19" i="1"/>
  <c r="N20" i="1"/>
  <c r="N22" i="1"/>
  <c r="N23" i="1"/>
  <c r="N25" i="1"/>
  <c r="N26" i="1"/>
  <c r="N28" i="1"/>
  <c r="N29" i="1"/>
  <c r="N3" i="1"/>
  <c r="L4" i="1"/>
  <c r="L5" i="1"/>
  <c r="L6" i="1"/>
  <c r="L7" i="1"/>
  <c r="L8" i="1"/>
  <c r="L9" i="1"/>
  <c r="L10" i="1"/>
  <c r="L11" i="1"/>
  <c r="L13" i="1"/>
  <c r="L14" i="1"/>
  <c r="L15" i="1"/>
  <c r="L16" i="1"/>
  <c r="L17" i="1"/>
  <c r="L18" i="1"/>
  <c r="L19" i="1"/>
  <c r="L20" i="1"/>
  <c r="L22" i="1"/>
  <c r="L23" i="1"/>
  <c r="L25" i="1"/>
  <c r="L26" i="1"/>
  <c r="L28" i="1"/>
  <c r="L29" i="1"/>
  <c r="L3" i="1"/>
  <c r="K3" i="1"/>
  <c r="K28" i="1"/>
  <c r="K26" i="1"/>
  <c r="K25" i="1"/>
  <c r="K23" i="1"/>
  <c r="K20" i="1"/>
  <c r="K19" i="1"/>
  <c r="K18" i="1"/>
  <c r="K17" i="1"/>
  <c r="K16" i="1"/>
  <c r="K15" i="1"/>
  <c r="K13" i="1"/>
  <c r="K11" i="1"/>
  <c r="K10" i="1"/>
  <c r="K9" i="1"/>
  <c r="K8" i="1"/>
  <c r="K7" i="1"/>
  <c r="K6" i="1"/>
  <c r="K5" i="1"/>
  <c r="K4" i="1"/>
  <c r="M3" i="18" l="1"/>
  <c r="L6" i="17"/>
  <c r="M6" i="17"/>
  <c r="L5" i="17"/>
  <c r="M5" i="17"/>
  <c r="L3" i="17"/>
  <c r="N8" i="17"/>
  <c r="N4" i="17"/>
  <c r="L8" i="17"/>
  <c r="L4" i="17"/>
  <c r="M7" i="17"/>
  <c r="X22" i="1"/>
  <c r="Z22" i="1" s="1"/>
  <c r="X14" i="1"/>
  <c r="Z14" i="1" s="1"/>
  <c r="W3" i="1"/>
  <c r="X3" i="1"/>
  <c r="Z3" i="1" s="1"/>
  <c r="W4" i="1"/>
  <c r="X4" i="1"/>
  <c r="Z4" i="1" s="1"/>
  <c r="W7" i="1"/>
  <c r="X7" i="1"/>
  <c r="Z7" i="1" s="1"/>
  <c r="X10" i="1"/>
  <c r="Z10" i="1" s="1"/>
  <c r="W10" i="1"/>
  <c r="W13" i="1"/>
  <c r="X13" i="1"/>
  <c r="Z13" i="1" s="1"/>
  <c r="X19" i="1"/>
  <c r="Z19" i="1" s="1"/>
  <c r="W19" i="1"/>
  <c r="X26" i="1"/>
  <c r="Z26" i="1" s="1"/>
  <c r="W26" i="1"/>
  <c r="X17" i="1"/>
  <c r="Z17" i="1" s="1"/>
  <c r="W17" i="1"/>
  <c r="X28" i="1"/>
  <c r="Z28" i="1" s="1"/>
  <c r="W28" i="1"/>
  <c r="X15" i="1"/>
  <c r="Z15" i="1" s="1"/>
  <c r="W15" i="1"/>
  <c r="W18" i="1"/>
  <c r="X18" i="1"/>
  <c r="Z18" i="1" s="1"/>
  <c r="X8" i="1"/>
  <c r="Z8" i="1" s="1"/>
  <c r="W8" i="1"/>
  <c r="W11" i="1"/>
  <c r="X11" i="1"/>
  <c r="Z11" i="1" s="1"/>
  <c r="X6" i="1"/>
  <c r="Z6" i="1" s="1"/>
  <c r="W6" i="1"/>
  <c r="W5" i="1"/>
  <c r="W9" i="1"/>
  <c r="W20" i="1"/>
  <c r="W21" i="1"/>
  <c r="W23" i="1"/>
  <c r="W24" i="1"/>
  <c r="W25" i="1"/>
  <c r="X16" i="1"/>
  <c r="Z16" i="1" s="1"/>
  <c r="W27" i="1"/>
  <c r="W29" i="1"/>
  <c r="R4" i="16"/>
  <c r="R5" i="16"/>
  <c r="R6" i="16"/>
  <c r="R7" i="16"/>
  <c r="R8" i="16"/>
  <c r="R9" i="16"/>
  <c r="M9" i="16"/>
  <c r="O9" i="16" s="1"/>
  <c r="L9" i="16"/>
  <c r="F9" i="16"/>
  <c r="H9" i="16" s="1"/>
  <c r="E9" i="16"/>
  <c r="M8" i="16"/>
  <c r="O8" i="16" s="1"/>
  <c r="L8" i="16"/>
  <c r="F8" i="16"/>
  <c r="H8" i="16" s="1"/>
  <c r="E8" i="16"/>
  <c r="M7" i="16"/>
  <c r="O7" i="16" s="1"/>
  <c r="L7" i="16"/>
  <c r="F7" i="16"/>
  <c r="H7" i="16" s="1"/>
  <c r="E7" i="16"/>
  <c r="M6" i="16"/>
  <c r="O6" i="16" s="1"/>
  <c r="L6" i="16"/>
  <c r="F6" i="16"/>
  <c r="H6" i="16" s="1"/>
  <c r="E6" i="16"/>
  <c r="M5" i="16"/>
  <c r="O5" i="16" s="1"/>
  <c r="L5" i="16"/>
  <c r="F5" i="16"/>
  <c r="H5" i="16" s="1"/>
  <c r="E5" i="16"/>
  <c r="M4" i="16"/>
  <c r="O4" i="16" s="1"/>
  <c r="L4" i="16"/>
  <c r="H4" i="16"/>
  <c r="F4" i="16"/>
  <c r="E4" i="16"/>
  <c r="M3" i="16"/>
  <c r="O3" i="16" s="1"/>
  <c r="L3" i="16"/>
  <c r="F3" i="16"/>
  <c r="H3" i="16" s="1"/>
  <c r="E3" i="16"/>
  <c r="L9" i="15"/>
  <c r="M9" i="15"/>
  <c r="L8" i="15"/>
  <c r="M8" i="15"/>
  <c r="L7" i="15"/>
  <c r="M7" i="15"/>
  <c r="L6" i="15"/>
  <c r="M6" i="15"/>
  <c r="L5" i="15"/>
  <c r="M5" i="15"/>
  <c r="M4" i="15"/>
  <c r="L4" i="15"/>
  <c r="M3" i="15"/>
  <c r="L3" i="15"/>
  <c r="F9" i="15"/>
  <c r="H9" i="15" s="1"/>
  <c r="F8" i="15"/>
  <c r="H8" i="15" s="1"/>
  <c r="F7" i="15"/>
  <c r="H7" i="15" s="1"/>
  <c r="F6" i="15"/>
  <c r="H6" i="15" s="1"/>
  <c r="E5" i="15"/>
  <c r="F4" i="15"/>
  <c r="H4" i="15" s="1"/>
  <c r="F3" i="15"/>
  <c r="H3" i="15" s="1"/>
  <c r="R3" i="16" l="1"/>
  <c r="H10" i="16"/>
  <c r="E4" i="15"/>
  <c r="E8" i="15"/>
  <c r="E3" i="15"/>
  <c r="E7" i="15"/>
  <c r="E9" i="15"/>
  <c r="F5" i="15"/>
  <c r="H5" i="15" s="1"/>
  <c r="E6" i="15"/>
  <c r="N3" i="14"/>
  <c r="K3" i="14"/>
  <c r="M3" i="14" s="1"/>
  <c r="C3" i="14"/>
  <c r="E3" i="14" s="1"/>
  <c r="O17" i="13"/>
  <c r="Q17" i="13" s="1"/>
  <c r="N17" i="13"/>
  <c r="G17" i="13"/>
  <c r="I17" i="13" s="1"/>
  <c r="F17" i="13"/>
  <c r="Z41" i="6"/>
  <c r="X41" i="6"/>
  <c r="W41" i="6"/>
  <c r="R41" i="6"/>
  <c r="P41" i="6"/>
  <c r="O41" i="6"/>
  <c r="F3" i="13"/>
  <c r="H3" i="13" s="1"/>
  <c r="H10" i="15" l="1"/>
  <c r="F3" i="14"/>
  <c r="H3" i="14" s="1"/>
  <c r="H4" i="13"/>
  <c r="E3" i="13"/>
  <c r="N4" i="12"/>
  <c r="N5" i="12"/>
  <c r="N7" i="12"/>
  <c r="N9" i="12"/>
  <c r="N10" i="12"/>
  <c r="N11" i="12"/>
  <c r="N12" i="12"/>
  <c r="N16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" i="12"/>
  <c r="K4" i="12"/>
  <c r="M4" i="12" s="1"/>
  <c r="K5" i="12"/>
  <c r="M5" i="12" s="1"/>
  <c r="K7" i="12"/>
  <c r="M7" i="12" s="1"/>
  <c r="K9" i="12"/>
  <c r="M9" i="12" s="1"/>
  <c r="K10" i="12"/>
  <c r="M10" i="12" s="1"/>
  <c r="K11" i="12"/>
  <c r="M11" i="12" s="1"/>
  <c r="K12" i="12"/>
  <c r="M12" i="12" s="1"/>
  <c r="K16" i="12"/>
  <c r="M16" i="12" s="1"/>
  <c r="K18" i="12"/>
  <c r="M18" i="12" s="1"/>
  <c r="K19" i="12"/>
  <c r="M19" i="12" s="1"/>
  <c r="K20" i="12"/>
  <c r="M20" i="12" s="1"/>
  <c r="K21" i="12"/>
  <c r="M21" i="12" s="1"/>
  <c r="K22" i="12"/>
  <c r="M22" i="12" s="1"/>
  <c r="K23" i="12"/>
  <c r="M23" i="12" s="1"/>
  <c r="K24" i="12"/>
  <c r="M24" i="12" s="1"/>
  <c r="K25" i="12"/>
  <c r="M25" i="12" s="1"/>
  <c r="K26" i="12"/>
  <c r="M26" i="12" s="1"/>
  <c r="K27" i="12"/>
  <c r="M27" i="12" s="1"/>
  <c r="K28" i="12"/>
  <c r="M28" i="12" s="1"/>
  <c r="K29" i="12"/>
  <c r="M29" i="12" s="1"/>
  <c r="K3" i="12"/>
  <c r="M3" i="12" s="1"/>
  <c r="N30" i="11"/>
  <c r="M4" i="11"/>
  <c r="M5" i="11"/>
  <c r="M6" i="11"/>
  <c r="M7" i="11"/>
  <c r="M8" i="11"/>
  <c r="M9" i="11"/>
  <c r="M10" i="11"/>
  <c r="M11" i="11"/>
  <c r="M13" i="11"/>
  <c r="M14" i="11"/>
  <c r="M15" i="11"/>
  <c r="M16" i="11"/>
  <c r="M17" i="11"/>
  <c r="M18" i="11"/>
  <c r="M19" i="11"/>
  <c r="M20" i="11"/>
  <c r="M22" i="11"/>
  <c r="M23" i="11"/>
  <c r="M25" i="11"/>
  <c r="M26" i="11"/>
  <c r="M28" i="11"/>
  <c r="M29" i="11"/>
  <c r="M3" i="11"/>
  <c r="L19" i="11"/>
  <c r="L3" i="11"/>
  <c r="H4" i="14" l="1"/>
  <c r="C29" i="12"/>
  <c r="F29" i="12" s="1"/>
  <c r="H29" i="12" s="1"/>
  <c r="C28" i="12"/>
  <c r="F28" i="12" s="1"/>
  <c r="H28" i="12" s="1"/>
  <c r="C27" i="12"/>
  <c r="F27" i="12" s="1"/>
  <c r="H27" i="12" s="1"/>
  <c r="F26" i="12"/>
  <c r="H26" i="12" s="1"/>
  <c r="E26" i="12"/>
  <c r="C25" i="12"/>
  <c r="E25" i="12" s="1"/>
  <c r="F24" i="12"/>
  <c r="H24" i="12" s="1"/>
  <c r="E24" i="12"/>
  <c r="F23" i="12"/>
  <c r="H23" i="12" s="1"/>
  <c r="E23" i="12"/>
  <c r="F22" i="12"/>
  <c r="H22" i="12" s="1"/>
  <c r="E22" i="12"/>
  <c r="C21" i="12"/>
  <c r="F21" i="12" s="1"/>
  <c r="H21" i="12" s="1"/>
  <c r="C20" i="12"/>
  <c r="F20" i="12" s="1"/>
  <c r="H20" i="12" s="1"/>
  <c r="C19" i="12"/>
  <c r="F19" i="12" s="1"/>
  <c r="H19" i="12" s="1"/>
  <c r="C18" i="12"/>
  <c r="F18" i="12" s="1"/>
  <c r="H18" i="12" s="1"/>
  <c r="C16" i="12"/>
  <c r="F16" i="12" s="1"/>
  <c r="H16" i="12" s="1"/>
  <c r="C12" i="12"/>
  <c r="F12" i="12" s="1"/>
  <c r="H12" i="12" s="1"/>
  <c r="C11" i="12"/>
  <c r="F11" i="12" s="1"/>
  <c r="H11" i="12" s="1"/>
  <c r="C10" i="12"/>
  <c r="F10" i="12" s="1"/>
  <c r="H10" i="12" s="1"/>
  <c r="C9" i="12"/>
  <c r="F9" i="12" s="1"/>
  <c r="H9" i="12" s="1"/>
  <c r="F7" i="12"/>
  <c r="H7" i="12" s="1"/>
  <c r="E7" i="12"/>
  <c r="F5" i="12"/>
  <c r="H5" i="12" s="1"/>
  <c r="E5" i="12"/>
  <c r="C4" i="12"/>
  <c r="F4" i="12" s="1"/>
  <c r="H4" i="12" s="1"/>
  <c r="C3" i="12"/>
  <c r="F3" i="12" s="1"/>
  <c r="H3" i="12" s="1"/>
  <c r="C29" i="11"/>
  <c r="F29" i="11" s="1"/>
  <c r="H29" i="11" s="1"/>
  <c r="C28" i="11"/>
  <c r="E28" i="11" s="1"/>
  <c r="C26" i="11"/>
  <c r="E26" i="11" s="1"/>
  <c r="C25" i="11"/>
  <c r="F25" i="11" s="1"/>
  <c r="H25" i="11" s="1"/>
  <c r="C23" i="11"/>
  <c r="E23" i="11" s="1"/>
  <c r="C22" i="11"/>
  <c r="E22" i="11" s="1"/>
  <c r="C20" i="11"/>
  <c r="E20" i="11" s="1"/>
  <c r="C19" i="11"/>
  <c r="E19" i="11" s="1"/>
  <c r="C18" i="11"/>
  <c r="E18" i="11" s="1"/>
  <c r="C17" i="11"/>
  <c r="F17" i="11" s="1"/>
  <c r="H17" i="11" s="1"/>
  <c r="C16" i="11"/>
  <c r="C15" i="11"/>
  <c r="C14" i="11"/>
  <c r="C13" i="11"/>
  <c r="C11" i="11"/>
  <c r="E11" i="11" s="1"/>
  <c r="C10" i="11"/>
  <c r="F10" i="11" s="1"/>
  <c r="H10" i="11" s="1"/>
  <c r="C9" i="11"/>
  <c r="C8" i="11"/>
  <c r="C7" i="11"/>
  <c r="C6" i="11"/>
  <c r="C5" i="11"/>
  <c r="C4" i="11"/>
  <c r="E4" i="11" s="1"/>
  <c r="C3" i="11"/>
  <c r="E3" i="11" s="1"/>
  <c r="F4" i="11" l="1"/>
  <c r="H4" i="11" s="1"/>
  <c r="F11" i="11"/>
  <c r="H11" i="11" s="1"/>
  <c r="F20" i="11"/>
  <c r="H20" i="11" s="1"/>
  <c r="F28" i="11"/>
  <c r="H28" i="11" s="1"/>
  <c r="E9" i="12"/>
  <c r="E10" i="12"/>
  <c r="E11" i="12"/>
  <c r="E12" i="12"/>
  <c r="E16" i="12"/>
  <c r="E18" i="12"/>
  <c r="E19" i="12"/>
  <c r="E20" i="12"/>
  <c r="E21" i="12"/>
  <c r="E3" i="12"/>
  <c r="F25" i="12"/>
  <c r="H25" i="12" s="1"/>
  <c r="H30" i="12" s="1"/>
  <c r="E4" i="12"/>
  <c r="E27" i="12"/>
  <c r="E28" i="12"/>
  <c r="E29" i="12"/>
  <c r="M30" i="11"/>
  <c r="F3" i="11"/>
  <c r="H3" i="11" s="1"/>
  <c r="F23" i="11"/>
  <c r="H23" i="11" s="1"/>
  <c r="F19" i="11"/>
  <c r="H19" i="11" s="1"/>
  <c r="E15" i="11"/>
  <c r="F15" i="11"/>
  <c r="H15" i="11" s="1"/>
  <c r="F5" i="11"/>
  <c r="H5" i="11" s="1"/>
  <c r="E5" i="11"/>
  <c r="E8" i="11"/>
  <c r="F8" i="11"/>
  <c r="H8" i="11" s="1"/>
  <c r="E6" i="11"/>
  <c r="F6" i="11"/>
  <c r="H6" i="11" s="1"/>
  <c r="F9" i="11"/>
  <c r="H9" i="11" s="1"/>
  <c r="E9" i="11"/>
  <c r="F14" i="11"/>
  <c r="H14" i="11" s="1"/>
  <c r="E14" i="11"/>
  <c r="E7" i="11"/>
  <c r="F7" i="11"/>
  <c r="H7" i="11" s="1"/>
  <c r="F16" i="11"/>
  <c r="H16" i="11" s="1"/>
  <c r="E16" i="11"/>
  <c r="F13" i="11"/>
  <c r="H13" i="11" s="1"/>
  <c r="E13" i="11"/>
  <c r="E25" i="11"/>
  <c r="E10" i="11"/>
  <c r="E17" i="11"/>
  <c r="F18" i="11"/>
  <c r="H18" i="11" s="1"/>
  <c r="F22" i="11"/>
  <c r="H22" i="11" s="1"/>
  <c r="F26" i="11"/>
  <c r="H26" i="11" s="1"/>
  <c r="E29" i="11"/>
  <c r="E5" i="10"/>
  <c r="F5" i="10"/>
  <c r="E7" i="10"/>
  <c r="F7" i="10"/>
  <c r="E9" i="10"/>
  <c r="F9" i="10"/>
  <c r="E11" i="10"/>
  <c r="F11" i="10"/>
  <c r="E16" i="10"/>
  <c r="F16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9" i="10"/>
  <c r="F29" i="10"/>
  <c r="D11" i="10"/>
  <c r="D29" i="10"/>
  <c r="D28" i="10"/>
  <c r="E28" i="10" s="1"/>
  <c r="D27" i="10"/>
  <c r="E27" i="10" s="1"/>
  <c r="D25" i="10"/>
  <c r="D21" i="10"/>
  <c r="D20" i="10"/>
  <c r="E20" i="10" s="1"/>
  <c r="D19" i="10"/>
  <c r="E19" i="10" s="1"/>
  <c r="D18" i="10"/>
  <c r="E18" i="10" s="1"/>
  <c r="D16" i="10"/>
  <c r="D12" i="10"/>
  <c r="E12" i="10" s="1"/>
  <c r="D10" i="10"/>
  <c r="E10" i="10" s="1"/>
  <c r="D9" i="10"/>
  <c r="D4" i="10"/>
  <c r="E4" i="10" s="1"/>
  <c r="D3" i="10"/>
  <c r="F3" i="10" s="1"/>
  <c r="D34" i="9"/>
  <c r="C34" i="9"/>
  <c r="F34" i="9" s="1"/>
  <c r="H34" i="9" s="1"/>
  <c r="C33" i="9"/>
  <c r="E33" i="9" s="1"/>
  <c r="C32" i="9"/>
  <c r="E32" i="9" s="1"/>
  <c r="D29" i="9"/>
  <c r="C29" i="9"/>
  <c r="D28" i="9"/>
  <c r="C28" i="9"/>
  <c r="F28" i="9" s="1"/>
  <c r="H28" i="9" s="1"/>
  <c r="D27" i="9"/>
  <c r="C27" i="9"/>
  <c r="F27" i="9" s="1"/>
  <c r="H27" i="9" s="1"/>
  <c r="D26" i="9"/>
  <c r="C26" i="9"/>
  <c r="F26" i="9" s="1"/>
  <c r="H26" i="9" s="1"/>
  <c r="D25" i="9"/>
  <c r="C25" i="9"/>
  <c r="D24" i="9"/>
  <c r="C24" i="9"/>
  <c r="F24" i="9" s="1"/>
  <c r="H24" i="9" s="1"/>
  <c r="D23" i="9"/>
  <c r="C23" i="9"/>
  <c r="D22" i="9"/>
  <c r="C22" i="9"/>
  <c r="D21" i="9"/>
  <c r="C21" i="9"/>
  <c r="D20" i="9"/>
  <c r="C20" i="9"/>
  <c r="F20" i="9" s="1"/>
  <c r="H20" i="9" s="1"/>
  <c r="D19" i="9"/>
  <c r="C19" i="9"/>
  <c r="F19" i="9" s="1"/>
  <c r="H19" i="9" s="1"/>
  <c r="D18" i="9"/>
  <c r="C18" i="9"/>
  <c r="F18" i="9" s="1"/>
  <c r="H18" i="9" s="1"/>
  <c r="D16" i="9"/>
  <c r="C16" i="9"/>
  <c r="F16" i="9" s="1"/>
  <c r="H16" i="9" s="1"/>
  <c r="D12" i="9"/>
  <c r="C12" i="9"/>
  <c r="F12" i="9" s="1"/>
  <c r="H12" i="9" s="1"/>
  <c r="D11" i="9"/>
  <c r="C11" i="9"/>
  <c r="F11" i="9" s="1"/>
  <c r="H11" i="9" s="1"/>
  <c r="D10" i="9"/>
  <c r="C10" i="9"/>
  <c r="F10" i="9" s="1"/>
  <c r="H10" i="9" s="1"/>
  <c r="D9" i="9"/>
  <c r="C9" i="9"/>
  <c r="F9" i="9" s="1"/>
  <c r="H9" i="9" s="1"/>
  <c r="D7" i="9"/>
  <c r="C7" i="9"/>
  <c r="E7" i="9" s="1"/>
  <c r="D5" i="9"/>
  <c r="C5" i="9"/>
  <c r="F5" i="9" s="1"/>
  <c r="H5" i="9" s="1"/>
  <c r="D4" i="9"/>
  <c r="C4" i="9"/>
  <c r="F4" i="9" s="1"/>
  <c r="H4" i="9" s="1"/>
  <c r="F3" i="9"/>
  <c r="H3" i="9" s="1"/>
  <c r="D3" i="9"/>
  <c r="C3" i="9"/>
  <c r="N34" i="6"/>
  <c r="M34" i="6"/>
  <c r="P34" i="6" s="1"/>
  <c r="R34" i="6" s="1"/>
  <c r="M33" i="6"/>
  <c r="O33" i="6" s="1"/>
  <c r="M32" i="6"/>
  <c r="O32" i="6" s="1"/>
  <c r="U29" i="6"/>
  <c r="W29" i="6" s="1"/>
  <c r="N29" i="6"/>
  <c r="M29" i="6"/>
  <c r="P29" i="6" s="1"/>
  <c r="R29" i="6" s="1"/>
  <c r="D29" i="6"/>
  <c r="E29" i="6" s="1"/>
  <c r="U28" i="6"/>
  <c r="W28" i="6" s="1"/>
  <c r="N28" i="6"/>
  <c r="M28" i="6"/>
  <c r="D28" i="6"/>
  <c r="E28" i="6" s="1"/>
  <c r="U27" i="6"/>
  <c r="W27" i="6" s="1"/>
  <c r="N27" i="6"/>
  <c r="M27" i="6"/>
  <c r="N26" i="6"/>
  <c r="M26" i="6"/>
  <c r="P26" i="6" s="1"/>
  <c r="R26" i="6" s="1"/>
  <c r="D26" i="6"/>
  <c r="F26" i="6" s="1"/>
  <c r="U25" i="6"/>
  <c r="W25" i="6" s="1"/>
  <c r="N25" i="6"/>
  <c r="M25" i="6"/>
  <c r="P25" i="6" s="1"/>
  <c r="R25" i="6" s="1"/>
  <c r="D25" i="6"/>
  <c r="E25" i="6" s="1"/>
  <c r="N24" i="6"/>
  <c r="M24" i="6"/>
  <c r="N23" i="6"/>
  <c r="M23" i="6"/>
  <c r="D23" i="6"/>
  <c r="F23" i="6" s="1"/>
  <c r="N22" i="6"/>
  <c r="M22" i="6"/>
  <c r="P22" i="6" s="1"/>
  <c r="R22" i="6" s="1"/>
  <c r="D22" i="6"/>
  <c r="E22" i="6" s="1"/>
  <c r="U21" i="6"/>
  <c r="X21" i="6" s="1"/>
  <c r="Z21" i="6" s="1"/>
  <c r="N21" i="6"/>
  <c r="M21" i="6"/>
  <c r="P21" i="6" s="1"/>
  <c r="R21" i="6" s="1"/>
  <c r="U20" i="6"/>
  <c r="W20" i="6" s="1"/>
  <c r="N20" i="6"/>
  <c r="M20" i="6"/>
  <c r="D20" i="6"/>
  <c r="F20" i="6" s="1"/>
  <c r="U19" i="6"/>
  <c r="X19" i="6" s="1"/>
  <c r="Z19" i="6" s="1"/>
  <c r="N19" i="6"/>
  <c r="M19" i="6"/>
  <c r="P19" i="6" s="1"/>
  <c r="R19" i="6" s="1"/>
  <c r="D19" i="6"/>
  <c r="F19" i="6" s="1"/>
  <c r="U18" i="6"/>
  <c r="W18" i="6" s="1"/>
  <c r="N18" i="6"/>
  <c r="M18" i="6"/>
  <c r="P18" i="6" s="1"/>
  <c r="R18" i="6" s="1"/>
  <c r="D18" i="6"/>
  <c r="E18" i="6" s="1"/>
  <c r="D17" i="6"/>
  <c r="E17" i="6" s="1"/>
  <c r="U16" i="6"/>
  <c r="W16" i="6" s="1"/>
  <c r="N16" i="6"/>
  <c r="M16" i="6"/>
  <c r="D16" i="6"/>
  <c r="E16" i="6" s="1"/>
  <c r="D15" i="6"/>
  <c r="E15" i="6" s="1"/>
  <c r="D14" i="6"/>
  <c r="E14" i="6" s="1"/>
  <c r="D13" i="6"/>
  <c r="E13" i="6" s="1"/>
  <c r="U12" i="6"/>
  <c r="W12" i="6" s="1"/>
  <c r="N12" i="6"/>
  <c r="M12" i="6"/>
  <c r="P12" i="6" s="1"/>
  <c r="R12" i="6" s="1"/>
  <c r="N11" i="6"/>
  <c r="M11" i="6"/>
  <c r="D11" i="6"/>
  <c r="F11" i="6" s="1"/>
  <c r="U10" i="6"/>
  <c r="X10" i="6" s="1"/>
  <c r="Z10" i="6" s="1"/>
  <c r="N10" i="6"/>
  <c r="M10" i="6"/>
  <c r="P10" i="6" s="1"/>
  <c r="R10" i="6" s="1"/>
  <c r="D10" i="6"/>
  <c r="F10" i="6" s="1"/>
  <c r="U9" i="6"/>
  <c r="X9" i="6" s="1"/>
  <c r="Z9" i="6" s="1"/>
  <c r="N9" i="6"/>
  <c r="M9" i="6"/>
  <c r="P9" i="6" s="1"/>
  <c r="R9" i="6" s="1"/>
  <c r="D9" i="6"/>
  <c r="E9" i="6" s="1"/>
  <c r="D8" i="6"/>
  <c r="E8" i="6" s="1"/>
  <c r="X7" i="6"/>
  <c r="Z7" i="6" s="1"/>
  <c r="W7" i="6"/>
  <c r="N7" i="6"/>
  <c r="M7" i="6"/>
  <c r="P7" i="6" s="1"/>
  <c r="R7" i="6" s="1"/>
  <c r="D7" i="6"/>
  <c r="E7" i="6" s="1"/>
  <c r="D6" i="6"/>
  <c r="E6" i="6" s="1"/>
  <c r="X5" i="6"/>
  <c r="Z5" i="6" s="1"/>
  <c r="W5" i="6"/>
  <c r="N5" i="6"/>
  <c r="M5" i="6"/>
  <c r="P5" i="6" s="1"/>
  <c r="R5" i="6" s="1"/>
  <c r="D5" i="6"/>
  <c r="E5" i="6" s="1"/>
  <c r="U4" i="6"/>
  <c r="W4" i="6" s="1"/>
  <c r="N4" i="6"/>
  <c r="M4" i="6"/>
  <c r="D4" i="6"/>
  <c r="E4" i="6" s="1"/>
  <c r="U3" i="6"/>
  <c r="W3" i="6" s="1"/>
  <c r="N3" i="6"/>
  <c r="M3" i="6"/>
  <c r="P3" i="6" s="1"/>
  <c r="R3" i="6" s="1"/>
  <c r="D3" i="6"/>
  <c r="F3" i="6" s="1"/>
  <c r="F19" i="10" l="1"/>
  <c r="F28" i="10"/>
  <c r="F20" i="10"/>
  <c r="F18" i="10"/>
  <c r="H30" i="10" s="1"/>
  <c r="F12" i="10"/>
  <c r="F10" i="10"/>
  <c r="F4" i="10"/>
  <c r="F27" i="10"/>
  <c r="E10" i="6"/>
  <c r="F18" i="6"/>
  <c r="E26" i="6"/>
  <c r="F7" i="6"/>
  <c r="X28" i="6"/>
  <c r="Z28" i="6" s="1"/>
  <c r="H30" i="11"/>
  <c r="E3" i="10"/>
  <c r="E23" i="9"/>
  <c r="E25" i="9"/>
  <c r="E29" i="9"/>
  <c r="E22" i="9"/>
  <c r="E20" i="9"/>
  <c r="F22" i="9"/>
  <c r="H22" i="9" s="1"/>
  <c r="W9" i="6"/>
  <c r="O19" i="6"/>
  <c r="P32" i="6"/>
  <c r="R32" i="6" s="1"/>
  <c r="O5" i="6"/>
  <c r="E3" i="9"/>
  <c r="E27" i="9"/>
  <c r="F23" i="9"/>
  <c r="H23" i="9" s="1"/>
  <c r="E4" i="9"/>
  <c r="E12" i="9"/>
  <c r="F32" i="9"/>
  <c r="H32" i="9" s="1"/>
  <c r="E11" i="9"/>
  <c r="E19" i="9"/>
  <c r="E24" i="9"/>
  <c r="E28" i="9"/>
  <c r="E34" i="9"/>
  <c r="E10" i="9"/>
  <c r="E18" i="9"/>
  <c r="E21" i="9"/>
  <c r="E26" i="9"/>
  <c r="F33" i="9"/>
  <c r="H33" i="9" s="1"/>
  <c r="E5" i="9"/>
  <c r="E9" i="9"/>
  <c r="E16" i="9"/>
  <c r="F7" i="9"/>
  <c r="H7" i="9" s="1"/>
  <c r="H30" i="9" s="1"/>
  <c r="F21" i="9"/>
  <c r="H21" i="9" s="1"/>
  <c r="F25" i="9"/>
  <c r="H25" i="9" s="1"/>
  <c r="F29" i="9"/>
  <c r="H29" i="9" s="1"/>
  <c r="X16" i="6"/>
  <c r="Z16" i="6" s="1"/>
  <c r="O22" i="6"/>
  <c r="E19" i="6"/>
  <c r="O26" i="6"/>
  <c r="F8" i="6"/>
  <c r="O9" i="6"/>
  <c r="F13" i="6"/>
  <c r="F25" i="6"/>
  <c r="O34" i="6"/>
  <c r="O7" i="6"/>
  <c r="O18" i="6"/>
  <c r="X18" i="6"/>
  <c r="Z18" i="6" s="1"/>
  <c r="F22" i="6"/>
  <c r="O25" i="6"/>
  <c r="X25" i="6"/>
  <c r="Z25" i="6" s="1"/>
  <c r="O4" i="6"/>
  <c r="X4" i="6"/>
  <c r="Z4" i="6" s="1"/>
  <c r="O16" i="6"/>
  <c r="O20" i="6"/>
  <c r="O23" i="6"/>
  <c r="O24" i="6"/>
  <c r="O27" i="6"/>
  <c r="O28" i="6"/>
  <c r="P4" i="6"/>
  <c r="R4" i="6" s="1"/>
  <c r="F5" i="6"/>
  <c r="F6" i="6"/>
  <c r="F9" i="6"/>
  <c r="O10" i="6"/>
  <c r="O11" i="6"/>
  <c r="O12" i="6"/>
  <c r="X12" i="6"/>
  <c r="Z12" i="6" s="1"/>
  <c r="P16" i="6"/>
  <c r="R16" i="6" s="1"/>
  <c r="F17" i="6"/>
  <c r="O21" i="6"/>
  <c r="P24" i="6"/>
  <c r="R24" i="6" s="1"/>
  <c r="P28" i="6"/>
  <c r="R28" i="6" s="1"/>
  <c r="O29" i="6"/>
  <c r="X29" i="6"/>
  <c r="Z29" i="6" s="1"/>
  <c r="P33" i="6"/>
  <c r="R33" i="6" s="1"/>
  <c r="E3" i="6"/>
  <c r="O3" i="6"/>
  <c r="X3" i="6"/>
  <c r="Z3" i="6" s="1"/>
  <c r="F4" i="6"/>
  <c r="P11" i="6"/>
  <c r="R11" i="6" s="1"/>
  <c r="F14" i="6"/>
  <c r="F15" i="6"/>
  <c r="F16" i="6"/>
  <c r="P20" i="6"/>
  <c r="R20" i="6" s="1"/>
  <c r="X20" i="6"/>
  <c r="Z20" i="6" s="1"/>
  <c r="P23" i="6"/>
  <c r="R23" i="6" s="1"/>
  <c r="P27" i="6"/>
  <c r="R27" i="6" s="1"/>
  <c r="X27" i="6"/>
  <c r="Z27" i="6" s="1"/>
  <c r="F28" i="6"/>
  <c r="F29" i="6"/>
  <c r="W10" i="6"/>
  <c r="E11" i="6"/>
  <c r="W19" i="6"/>
  <c r="E20" i="6"/>
  <c r="W21" i="6"/>
  <c r="E23" i="6"/>
  <c r="H30" i="6" l="1"/>
  <c r="F14" i="1"/>
  <c r="H14" i="1" s="1"/>
  <c r="F22" i="1"/>
  <c r="H22" i="1" s="1"/>
  <c r="F29" i="1"/>
  <c r="H29" i="1" s="1"/>
  <c r="C28" i="1"/>
  <c r="F28" i="1" s="1"/>
  <c r="H28" i="1" s="1"/>
  <c r="C26" i="1"/>
  <c r="F26" i="1" s="1"/>
  <c r="H26" i="1" s="1"/>
  <c r="C25" i="1"/>
  <c r="F25" i="1" s="1"/>
  <c r="H25" i="1" s="1"/>
  <c r="C23" i="1"/>
  <c r="E23" i="1" s="1"/>
  <c r="E29" i="1"/>
  <c r="C20" i="1"/>
  <c r="E20" i="1" s="1"/>
  <c r="C19" i="1"/>
  <c r="F19" i="1" s="1"/>
  <c r="H19" i="1" s="1"/>
  <c r="C18" i="1"/>
  <c r="F18" i="1" s="1"/>
  <c r="H18" i="1" s="1"/>
  <c r="C17" i="1"/>
  <c r="F17" i="1" s="1"/>
  <c r="H17" i="1" s="1"/>
  <c r="C16" i="1"/>
  <c r="F16" i="1" s="1"/>
  <c r="H16" i="1" s="1"/>
  <c r="C15" i="1"/>
  <c r="F15" i="1" s="1"/>
  <c r="H15" i="1" s="1"/>
  <c r="C13" i="1"/>
  <c r="F13" i="1" s="1"/>
  <c r="H13" i="1" s="1"/>
  <c r="C11" i="1"/>
  <c r="E11" i="1" s="1"/>
  <c r="C10" i="1"/>
  <c r="E10" i="1" s="1"/>
  <c r="C9" i="1"/>
  <c r="F9" i="1" s="1"/>
  <c r="H9" i="1" s="1"/>
  <c r="C8" i="1"/>
  <c r="F8" i="1" s="1"/>
  <c r="H8" i="1" s="1"/>
  <c r="C7" i="1"/>
  <c r="E7" i="1" s="1"/>
  <c r="C6" i="1"/>
  <c r="E6" i="1" s="1"/>
  <c r="C5" i="1"/>
  <c r="F5" i="1" s="1"/>
  <c r="H5" i="1" s="1"/>
  <c r="C4" i="1"/>
  <c r="E4" i="1" s="1"/>
  <c r="E14" i="1"/>
  <c r="E22" i="1"/>
  <c r="C3" i="1"/>
  <c r="E3" i="1" s="1"/>
  <c r="E19" i="1" l="1"/>
  <c r="E8" i="1"/>
  <c r="E16" i="1"/>
  <c r="E18" i="1"/>
  <c r="E9" i="1"/>
  <c r="E15" i="1"/>
  <c r="E17" i="1"/>
  <c r="E26" i="1"/>
  <c r="E5" i="1"/>
  <c r="E13" i="1"/>
  <c r="E25" i="1"/>
  <c r="F3" i="1"/>
  <c r="H3" i="1" s="1"/>
  <c r="F23" i="1"/>
  <c r="H23" i="1" s="1"/>
  <c r="F11" i="1"/>
  <c r="H11" i="1" s="1"/>
  <c r="F7" i="1"/>
  <c r="H7" i="1" s="1"/>
  <c r="E28" i="1"/>
  <c r="F10" i="1"/>
  <c r="H10" i="1" s="1"/>
  <c r="F6" i="1"/>
  <c r="H6" i="1" s="1"/>
  <c r="F20" i="1"/>
  <c r="H20" i="1" s="1"/>
  <c r="F4" i="1"/>
  <c r="H4" i="1" s="1"/>
</calcChain>
</file>

<file path=xl/sharedStrings.xml><?xml version="1.0" encoding="utf-8"?>
<sst xmlns="http://schemas.openxmlformats.org/spreadsheetml/2006/main" count="690" uniqueCount="180">
  <si>
    <t>XD</t>
  </si>
  <si>
    <t>CĐT</t>
  </si>
  <si>
    <t>CNKT Đ-ĐT</t>
  </si>
  <si>
    <t>CNKT ĐKTĐH</t>
  </si>
  <si>
    <t>ĐCN</t>
  </si>
  <si>
    <t>CNKT NHIỆT</t>
  </si>
  <si>
    <t>KTMLĐHKK</t>
  </si>
  <si>
    <t>VHSCTBL</t>
  </si>
  <si>
    <t>CNKT CƠ KHÍ</t>
  </si>
  <si>
    <t>CTM</t>
  </si>
  <si>
    <t>CGKL</t>
  </si>
  <si>
    <t>BTHTTBCN</t>
  </si>
  <si>
    <t>CNÔ</t>
  </si>
  <si>
    <t>TMĐT</t>
  </si>
  <si>
    <t>QTMMT</t>
  </si>
  <si>
    <t>CNKTMT</t>
  </si>
  <si>
    <t>TKĐH</t>
  </si>
  <si>
    <t>LTMT</t>
  </si>
  <si>
    <t>THUD</t>
  </si>
  <si>
    <t>KTD</t>
  </si>
  <si>
    <t>QTD</t>
  </si>
  <si>
    <t>TA</t>
  </si>
  <si>
    <t>CNM</t>
  </si>
  <si>
    <t>CKCT</t>
  </si>
  <si>
    <t>ANM</t>
  </si>
  <si>
    <t>TKW</t>
  </si>
  <si>
    <t>TRÌNH ĐỘ TRUNG CẤP</t>
  </si>
  <si>
    <t>Tên ngành</t>
  </si>
  <si>
    <t>Số giờ tổng</t>
  </si>
  <si>
    <t>Số giờ 40%</t>
  </si>
  <si>
    <t>Số giờ TTTN</t>
  </si>
  <si>
    <t>Số TC học tại DN</t>
  </si>
  <si>
    <t>TCD</t>
  </si>
  <si>
    <t>6/12</t>
  </si>
  <si>
    <t>3/7</t>
  </si>
  <si>
    <t>4/8</t>
  </si>
  <si>
    <t>5/9</t>
  </si>
  <si>
    <t>5/10</t>
  </si>
  <si>
    <t>5/13</t>
  </si>
  <si>
    <t>7/22 chỉ T,hành
có 20 mô đun</t>
  </si>
  <si>
    <t>5/23 chỉ T,hành
có 18 mô đun</t>
  </si>
  <si>
    <t>6/24 chỉ T,hành
có 20 mô đun</t>
  </si>
  <si>
    <t>7/23 chỉ T,hành
có 16 mô đun</t>
  </si>
  <si>
    <t>6/24 chỉ T,hành
có 17 mô đun</t>
  </si>
  <si>
    <t>6/23 chỉ T,hành
có 19 mô đun</t>
  </si>
  <si>
    <t>3/4</t>
  </si>
  <si>
    <t>3/3</t>
  </si>
  <si>
    <t>2/3</t>
  </si>
  <si>
    <t>4/9</t>
  </si>
  <si>
    <t>3/6</t>
  </si>
  <si>
    <t>4/7</t>
  </si>
  <si>
    <t>5/8</t>
  </si>
  <si>
    <t>2/5</t>
  </si>
  <si>
    <t>11/17 chỉ T,hành
có 13 mô đun</t>
  </si>
  <si>
    <t>11/16 chỉ T,hành
có 14 mô đun</t>
  </si>
  <si>
    <t>12/17 chỉ T,hành
có 14 mô đun</t>
  </si>
  <si>
    <t>9/16 chỉ T,hành
có 10 mô đun</t>
  </si>
  <si>
    <t>9/16 chỉ T,hành
có 11 mô đun</t>
  </si>
  <si>
    <t>8/17 chỉ T,hành
có 11 mô đun</t>
  </si>
  <si>
    <t>6/17 chỉ T,hành
có 14 mô đun</t>
  </si>
  <si>
    <t>1/3</t>
  </si>
  <si>
    <t>1/2</t>
  </si>
  <si>
    <t>4/6</t>
  </si>
  <si>
    <t>5/6</t>
  </si>
  <si>
    <t>5/11 chỉ T,hành
có 10 mô đun</t>
  </si>
  <si>
    <t>TỔNG CỘNG</t>
  </si>
  <si>
    <t>TỔNG CỘNG:</t>
  </si>
  <si>
    <t>14/23 NGÀNH ĐẠT 60%</t>
  </si>
  <si>
    <t>21/21 NGÀNH ĐẠT 60%</t>
  </si>
  <si>
    <t>CNÔ(T2)</t>
  </si>
  <si>
    <t>ĐCN (T5+6)</t>
  </si>
  <si>
    <t>ĐCN (T7)</t>
  </si>
  <si>
    <t>3/3 NGÀNH ĐẠT 60%</t>
  </si>
  <si>
    <t>16/21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</si>
  <si>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</si>
  <si>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</si>
  <si>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</si>
  <si>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% số chương trình T4 đạt tỷ lệ 60% toàn khóa:</t>
  </si>
  <si>
    <t>Tổng số % số chương trình T4+T2 đạt tỷ lệ 60% toàn khóa:</t>
  </si>
  <si>
    <t>Thống kê chương trình trung cấp</t>
  </si>
  <si>
    <t>Tổng số % số CTDT T4 đạt tỷ lệ 60% trừ văn hóa:</t>
  </si>
  <si>
    <t>Tổng số % số CTDT T4+T2 đạt tỷ lệ 60% trừ văn hóa: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</si>
  <si>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</si>
  <si>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</si>
  <si>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</si>
  <si>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</si>
  <si>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</si>
  <si>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</si>
  <si>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</si>
  <si>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</si>
  <si>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</si>
  <si>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</si>
  <si>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</si>
  <si>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Công nghệ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</si>
  <si>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</si>
  <si>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</si>
  <si>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</si>
  <si>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</si>
  <si>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</si>
  <si>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</si>
  <si>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</si>
  <si>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</si>
  <si>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</si>
  <si>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</si>
  <si>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</si>
  <si>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</si>
  <si>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</si>
  <si>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</si>
  <si>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</si>
  <si>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</si>
  <si>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</si>
  <si>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Số giờ TH</t>
  </si>
  <si>
    <t>Tỷ lệ % TH</t>
  </si>
  <si>
    <t>Số môn TT/ số tín chỉ của HK4</t>
  </si>
  <si>
    <t>THỐNG KÊ TỶ LỆ % THỰC HÀNH TOÀN CHƯƠNG TRÌNH
TRÌNH ĐỘ CAO ĐẲNG - KHÓA 2018</t>
  </si>
  <si>
    <t>THỐNG KÊ TỶ LỆ % THỰC HÀNH TOÀN KHÓA
TRÌNH ĐỘ TRUNG CẤP - KHÓA 2018</t>
  </si>
  <si>
    <t>CNKT Cơ khí</t>
  </si>
  <si>
    <t>5 mô đun/7 tín chỉ thực hành</t>
  </si>
  <si>
    <t>6 mô đun/6 tín chỉ thực hành</t>
  </si>
  <si>
    <t>5 mô đun/6 tín chỉ thực hành</t>
  </si>
  <si>
    <t>3/9</t>
  </si>
  <si>
    <t>2/6</t>
  </si>
  <si>
    <t>4/10</t>
  </si>
  <si>
    <t>2/8</t>
  </si>
  <si>
    <t>3/8</t>
  </si>
  <si>
    <r>
      <t xml:space="preserve">Số môn TH/ số tín chỉ TH của HK4
</t>
    </r>
    <r>
      <rPr>
        <i/>
        <sz val="12"/>
        <color theme="1"/>
        <rFont val="Times New Roman"/>
        <family val="1"/>
      </rPr>
      <t>(trừ TTTN)</t>
    </r>
  </si>
  <si>
    <t>4/11</t>
  </si>
  <si>
    <t>5/7</t>
  </si>
  <si>
    <t>5/11</t>
  </si>
  <si>
    <t>5/12</t>
  </si>
  <si>
    <t>CNKT phần cứng máy tính</t>
  </si>
  <si>
    <t>9 mô đun/11 tín chỉ thực hành</t>
  </si>
  <si>
    <t>9 mô đun/12 tín chỉ thực hành</t>
  </si>
  <si>
    <t>10 mô đun/11 tín chỉ thực hành</t>
  </si>
  <si>
    <t>6 mô đun/9 tín chỉ thực hành</t>
  </si>
  <si>
    <t>5 mô đun/8 tín chỉ thực hành</t>
  </si>
  <si>
    <t>Thiết kế trang Web</t>
  </si>
  <si>
    <t>7 mô đun/9 tín chỉ thực hành</t>
  </si>
  <si>
    <t>7/13</t>
  </si>
  <si>
    <r>
      <t xml:space="preserve">Số môn TH/ số tín chỉ TH của HK4,5,6
</t>
    </r>
    <r>
      <rPr>
        <i/>
        <sz val="12"/>
        <rFont val="Times New Roman"/>
        <family val="1"/>
      </rPr>
      <t>(trừ TTTN)</t>
    </r>
  </si>
  <si>
    <t xml:space="preserve">23 NGÀNH </t>
  </si>
  <si>
    <t>3/10</t>
  </si>
  <si>
    <t>* Thống kê: 23 ngành (có 19 ngành đạt tỷ lệ 30% số mô đun, môn học thực hành học tại DN là 19/23 ngành (82,6%))</t>
  </si>
  <si>
    <t>21 NGÀNH</t>
  </si>
  <si>
    <t>* Thống kê: 21 ngành đạt tỷ lệ 30% số mô đun, môn học thực hành học tại DN là 100%</t>
  </si>
  <si>
    <t>Tỷ lệ 30% đạt được</t>
  </si>
  <si>
    <t>Công nghệ Chế tạo máy</t>
  </si>
  <si>
    <r>
      <t xml:space="preserve">Số môn TH/ số tín chỉ TH của HK4,5,6
</t>
    </r>
    <r>
      <rPr>
        <i/>
        <sz val="12"/>
        <color theme="1"/>
        <rFont val="Times New Roman"/>
        <family val="1"/>
      </rPr>
      <t>(trừ TTTN)</t>
    </r>
  </si>
  <si>
    <r>
      <t xml:space="preserve">Số MĐ, MH toàn khóa </t>
    </r>
    <r>
      <rPr>
        <i/>
        <sz val="12"/>
        <color theme="1"/>
        <rFont val="Times New Roman"/>
        <family val="1"/>
      </rPr>
      <t>(trừ TTTN)</t>
    </r>
  </si>
  <si>
    <t>23 ngành</t>
  </si>
  <si>
    <t>Số lượng MĐ, MH thực hành toàn khóa</t>
  </si>
  <si>
    <t>30% số lượng MĐ, MH thực hành được DN đánh giá</t>
  </si>
  <si>
    <r>
      <t xml:space="preserve">30% số lượng MĐ, MH thực hành được DN đánh giá
</t>
    </r>
    <r>
      <rPr>
        <i/>
        <sz val="12"/>
        <color theme="1"/>
        <rFont val="Times New Roman"/>
        <family val="1"/>
      </rPr>
      <t>(sau khi trừ TTTN)</t>
    </r>
  </si>
  <si>
    <t>THỐNG KÊ 30% SỐ MÔ ĐUN, MÔN HỌC THỰC HÀNH  HỌC TẠI DOANH NGHIỆP
TRÌNH ĐỘ CAO ĐẲNG - KHÓA 2018</t>
  </si>
  <si>
    <t>THỐNG KÊ 30% SỐ MÔ ĐUN, MÔN HỌC THỰC HÀNH  HỌC TẠI DOANH NGHIỆP
TRÌNH ĐỘ TRUNG CẤP - KHÓA 2018</t>
  </si>
  <si>
    <t>21 ngành</t>
  </si>
  <si>
    <t>BẢNG THỐNG KÊ TỔNG ĐẠT 60% THỰC HÀNH TOÀN CHƯƠNG TRÌNH
VÀ 40% THỰC HÀNH HỌC TẠI DOANH NGHIỆP
TRÌNH ĐỘ CAO ĐẲNG - KHÓA 2018</t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</si>
  <si>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</si>
  <si>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</si>
  <si>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</si>
  <si>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</si>
  <si>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</si>
  <si>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Số tín chỉ TH tối thiểu  học tại DN còn lại</t>
  </si>
  <si>
    <t xml:space="preserve">21/23 ngành đạt 60% </t>
  </si>
  <si>
    <t>BẢNG THỐNG KÊ TỔNG ĐẠT 60% THỰC HÀNH TOÀN CHƯƠNG TRÌNH
VÀ 40% THỰC HÀNH HỌC TẠI DOANH NGHIỆP
TRÌNH ĐỘ TRUNG CẤP - KHÓA 2018</t>
  </si>
  <si>
    <t>21/21 ngành đạt 60%</t>
  </si>
  <si>
    <t>01/01 ngành đạt</t>
  </si>
  <si>
    <t>Công nghệ Ô tô</t>
  </si>
  <si>
    <t>BẢNG THỐNG KÊ TỔNG ĐẠT 60% THỰC HÀNH TOÀN CHƯƠNG TRÌNH
VÀ 40% THỰC HÀNH HỌC TẠI DOANH NGHIỆP
TRÌNH ĐỘ TRUNG CẤP (T2) - KHÓA 2018</t>
  </si>
  <si>
    <t>THỐNG KÊ 30% SỐ MÔ ĐUN, MÔN HỌC THỰC HÀNH  HỌC TẠI DOANH NGHIỆP
TRÌNH ĐỘ TRUNG CẤP (T2) - KHÓA 2018</t>
  </si>
  <si>
    <t>01 ngành</t>
  </si>
  <si>
    <t>BẢNG THỐNG KÊ TỔNG ĐẠT 60% THỰC HÀNH TOÀN CHƯƠNG TRÌNH
VÀ 40% THỰC HÀNH HỌC TẠI DOANH NGHIỆP
TRÌNH ĐỘ CAO ĐẲNG (C2) - KHÓA 2018</t>
  </si>
  <si>
    <t xml:space="preserve">7/7 ngành đạt 60% </t>
  </si>
  <si>
    <t>THỐNG KÊ 30% SỐ MÔ ĐUN, MÔN HỌC THỰC HÀNH  HỌC TẠI DOANH NGHIỆP
TRÌNH ĐỘ CAO ĐẲNG (C2) - KHÓA 2018</t>
  </si>
  <si>
    <t>7 ngành</t>
  </si>
  <si>
    <t>19/23 NGÀNH ĐẠT 60%</t>
  </si>
  <si>
    <t xml:space="preserve">Số TC học tại DN thay đổi bổ sung kiến tập </t>
  </si>
  <si>
    <t>Số TC học tại DN thay đổi bổ sung kiến tập</t>
  </si>
  <si>
    <t>Số tín chỉ TH học tại DN</t>
  </si>
  <si>
    <t xml:space="preserve">2/7 ngành đạt 60%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</si>
</sst>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u val="double"/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u val="double"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" fillId="0" borderId="0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" xfId="0" applyFont="1" applyBorder="1"/>
    <xf numFmtId="10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0" fontId="4" fillId="0" borderId="0" xfId="0" applyNumberFormat="1" applyFont="1" applyAlignment="1">
      <alignment vertical="center"/>
    </xf>
    <xf numFmtId="10" fontId="4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/>
    <xf numFmtId="10" fontId="5" fillId="0" borderId="0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9" fontId="10" fillId="0" borderId="0" xfId="0" applyNumberFormat="1" applyFont="1" applyAlignment="1">
      <alignment horizontal="center"/>
    </xf>
    <xf numFmtId="0" fontId="11" fillId="0" borderId="0" xfId="0" applyFont="1"/>
    <xf numFmtId="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quotePrefix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8" fillId="6" borderId="1" xfId="0" quotePrefix="1" applyFont="1" applyFill="1" applyBorder="1" applyAlignment="1">
      <alignment horizontal="center" vertical="center" wrapText="1"/>
    </xf>
    <xf numFmtId="0" fontId="7" fillId="0" borderId="0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17" fillId="5" borderId="1" xfId="0" applyFont="1" applyFill="1" applyBorder="1" applyAlignment="1">
      <alignment horizontal="center" vertical="center"/>
    </xf>
    <xf numFmtId="0" fontId="7" fillId="6" borderId="1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17" fillId="6" borderId="1" xfId="0" quotePrefix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23" fillId="0" borderId="0" xfId="0" applyFont="1"/>
    <xf numFmtId="0" fontId="10" fillId="0" borderId="4" xfId="0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1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6" borderId="7" xfId="0" quotePrefix="1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9" fillId="6" borderId="7" xfId="0" quotePrefix="1" applyFont="1" applyFill="1" applyBorder="1" applyAlignment="1">
      <alignment horizontal="center" vertical="center" wrapText="1"/>
    </xf>
    <xf numFmtId="0" fontId="8" fillId="6" borderId="7" xfId="0" quotePrefix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/>
    </xf>
    <xf numFmtId="0" fontId="8" fillId="0" borderId="6" xfId="0" quotePrefix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7" fillId="6" borderId="7" xfId="0" quotePrefix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7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topLeftCell="A7" zoomScale="115" zoomScaleNormal="115" workbookViewId="0">
      <selection activeCell="B14" sqref="B14"/>
    </sheetView>
  </sheetViews>
  <sheetFormatPr defaultRowHeight="15" x14ac:dyDescent="0.25"/>
  <cols>
    <col min="1" max="1" width="3.5703125" style="2" customWidth="1"/>
    <col min="2" max="2" width="29.7109375" style="2" customWidth="1"/>
    <col min="3" max="7" width="8.28515625" style="2" customWidth="1"/>
    <col min="8" max="8" width="8.28515625" style="3" customWidth="1"/>
    <col min="9" max="9" width="10.140625" style="3" hidden="1" customWidth="1"/>
    <col min="10" max="10" width="1.85546875" style="2" customWidth="1"/>
    <col min="11" max="11" width="7.5703125" style="2" hidden="1" customWidth="1"/>
    <col min="12" max="17" width="8.28515625" style="2" customWidth="1"/>
    <col min="18" max="18" width="10" style="2" customWidth="1"/>
    <col min="19" max="19" width="5.5703125" style="2" customWidth="1"/>
    <col min="20" max="16384" width="9.140625" style="2"/>
  </cols>
  <sheetData>
    <row r="1" spans="1:26" s="1" customFormat="1" ht="45.75" customHeight="1" x14ac:dyDescent="0.25">
      <c r="A1" s="142" t="s">
        <v>114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26" s="21" customFormat="1" ht="87.75" customHeight="1" x14ac:dyDescent="0.25">
      <c r="A2" s="50" t="s">
        <v>110</v>
      </c>
      <c r="B2" s="19" t="s">
        <v>27</v>
      </c>
      <c r="C2" s="19" t="s">
        <v>111</v>
      </c>
      <c r="D2" s="19" t="s">
        <v>28</v>
      </c>
      <c r="E2" s="19" t="s">
        <v>112</v>
      </c>
      <c r="F2" s="20" t="s">
        <v>29</v>
      </c>
      <c r="G2" s="20" t="s">
        <v>30</v>
      </c>
      <c r="H2" s="72" t="s">
        <v>31</v>
      </c>
      <c r="I2" s="116" t="s">
        <v>113</v>
      </c>
      <c r="J2" s="126"/>
      <c r="K2" s="123" t="s">
        <v>111</v>
      </c>
      <c r="L2" s="111" t="s">
        <v>111</v>
      </c>
      <c r="M2" s="19" t="s">
        <v>28</v>
      </c>
      <c r="N2" s="19" t="s">
        <v>112</v>
      </c>
      <c r="O2" s="19" t="s">
        <v>29</v>
      </c>
      <c r="P2" s="19" t="s">
        <v>30</v>
      </c>
      <c r="Q2" s="111" t="s">
        <v>31</v>
      </c>
      <c r="R2" s="115" t="s">
        <v>176</v>
      </c>
      <c r="T2" s="21" t="s">
        <v>111</v>
      </c>
      <c r="V2" s="21" t="s">
        <v>28</v>
      </c>
      <c r="W2" s="21" t="s">
        <v>112</v>
      </c>
      <c r="X2" s="21" t="s">
        <v>29</v>
      </c>
      <c r="Y2" s="21" t="s">
        <v>30</v>
      </c>
      <c r="Z2" s="21" t="s">
        <v>31</v>
      </c>
    </row>
    <row r="3" spans="1:26" s="21" customFormat="1" ht="23.25" customHeight="1" x14ac:dyDescent="0.25">
      <c r="A3" s="49">
        <v>1</v>
      </c>
      <c r="B3" s="51" t="s">
        <v>84</v>
      </c>
      <c r="C3" s="49">
        <f>930+52</f>
        <v>982</v>
      </c>
      <c r="D3" s="49">
        <v>1875</v>
      </c>
      <c r="E3" s="52">
        <f>ROUND(C3*100/D3,1)</f>
        <v>52.4</v>
      </c>
      <c r="F3" s="49">
        <f>C3*0.4</f>
        <v>392.8</v>
      </c>
      <c r="G3" s="49">
        <v>270</v>
      </c>
      <c r="H3" s="73">
        <f>ROUND((F3-G3)/30,0)</f>
        <v>4</v>
      </c>
      <c r="I3" s="117" t="s">
        <v>49</v>
      </c>
      <c r="J3" s="126"/>
      <c r="K3" s="124">
        <f>930+52</f>
        <v>982</v>
      </c>
      <c r="L3" s="110">
        <f>K3+90</f>
        <v>1072</v>
      </c>
      <c r="M3" s="49">
        <v>1875</v>
      </c>
      <c r="N3" s="113">
        <f>ROUND(L3*100/M3,1)</f>
        <v>57.2</v>
      </c>
      <c r="O3" s="49">
        <f>L3*0.4</f>
        <v>428.8</v>
      </c>
      <c r="P3" s="49">
        <v>270</v>
      </c>
      <c r="Q3" s="110">
        <v>6</v>
      </c>
      <c r="R3" s="110">
        <f>Q3-'3.1-khoa2018-C1'!H3</f>
        <v>4</v>
      </c>
      <c r="T3" s="21">
        <f>930+52</f>
        <v>982</v>
      </c>
      <c r="U3" s="21">
        <f>T3+60</f>
        <v>1042</v>
      </c>
      <c r="V3" s="21">
        <v>1875</v>
      </c>
      <c r="W3" s="21">
        <f>ROUND(U3*100/V3,1)</f>
        <v>55.6</v>
      </c>
      <c r="X3" s="21">
        <f>U3*0.4</f>
        <v>416.8</v>
      </c>
      <c r="Y3" s="21">
        <v>270</v>
      </c>
      <c r="Z3" s="21">
        <f>ROUND((X3-Y3)/30,0)</f>
        <v>5</v>
      </c>
    </row>
    <row r="4" spans="1:26" s="21" customFormat="1" ht="23.25" customHeight="1" x14ac:dyDescent="0.25">
      <c r="A4" s="49">
        <v>2</v>
      </c>
      <c r="B4" s="51" t="s">
        <v>85</v>
      </c>
      <c r="C4" s="49">
        <f>1170+44</f>
        <v>1214</v>
      </c>
      <c r="D4" s="49">
        <v>1995</v>
      </c>
      <c r="E4" s="49">
        <f t="shared" ref="E4:E22" si="0">ROUND(C4*100/D4,1)</f>
        <v>60.9</v>
      </c>
      <c r="F4" s="49">
        <f t="shared" ref="F4:F29" si="1">C4*0.4</f>
        <v>485.6</v>
      </c>
      <c r="G4" s="49">
        <v>270</v>
      </c>
      <c r="H4" s="73">
        <f t="shared" ref="H4:H29" si="2">ROUND((F4-G4)/30,0)</f>
        <v>7</v>
      </c>
      <c r="I4" s="117" t="s">
        <v>33</v>
      </c>
      <c r="J4" s="126"/>
      <c r="K4" s="124">
        <f>1170+44</f>
        <v>1214</v>
      </c>
      <c r="L4" s="110">
        <f t="shared" ref="L4:L29" si="3">K4+90</f>
        <v>1304</v>
      </c>
      <c r="M4" s="49">
        <v>1995</v>
      </c>
      <c r="N4" s="49">
        <f t="shared" ref="N4:N29" si="4">ROUND(L4*100/M4,1)</f>
        <v>65.400000000000006</v>
      </c>
      <c r="O4" s="49">
        <f t="shared" ref="O4:O29" si="5">L4*0.4</f>
        <v>521.6</v>
      </c>
      <c r="P4" s="49">
        <v>270</v>
      </c>
      <c r="Q4" s="110">
        <v>9</v>
      </c>
      <c r="R4" s="110">
        <f>Q4-'3.1-khoa2018-C1'!H4</f>
        <v>4</v>
      </c>
      <c r="T4" s="21">
        <f>1170+44</f>
        <v>1214</v>
      </c>
      <c r="U4" s="21">
        <f t="shared" ref="U4:U29" si="6">T4+60</f>
        <v>1274</v>
      </c>
      <c r="V4" s="21">
        <v>1995</v>
      </c>
      <c r="W4" s="21">
        <f t="shared" ref="W4:W29" si="7">ROUND(U4*100/V4,1)</f>
        <v>63.9</v>
      </c>
      <c r="X4" s="21">
        <f t="shared" ref="X4:X29" si="8">U4*0.4</f>
        <v>509.6</v>
      </c>
      <c r="Y4" s="21">
        <v>270</v>
      </c>
      <c r="Z4" s="21">
        <f t="shared" ref="Z4:Z11" si="9">ROUND((X4-Y4)/30,0)</f>
        <v>8</v>
      </c>
    </row>
    <row r="5" spans="1:26" s="21" customFormat="1" ht="23.25" customHeight="1" x14ac:dyDescent="0.25">
      <c r="A5" s="49">
        <v>3</v>
      </c>
      <c r="B5" s="51" t="s">
        <v>86</v>
      </c>
      <c r="C5" s="49">
        <f>1170+44</f>
        <v>1214</v>
      </c>
      <c r="D5" s="49">
        <v>1995</v>
      </c>
      <c r="E5" s="49">
        <f t="shared" si="0"/>
        <v>60.9</v>
      </c>
      <c r="F5" s="49">
        <f t="shared" si="1"/>
        <v>485.6</v>
      </c>
      <c r="G5" s="49">
        <v>270</v>
      </c>
      <c r="H5" s="73">
        <f t="shared" si="2"/>
        <v>7</v>
      </c>
      <c r="I5" s="117" t="s">
        <v>33</v>
      </c>
      <c r="J5" s="126"/>
      <c r="K5" s="124">
        <f>1170+44</f>
        <v>1214</v>
      </c>
      <c r="L5" s="110">
        <f t="shared" si="3"/>
        <v>1304</v>
      </c>
      <c r="M5" s="49">
        <v>1995</v>
      </c>
      <c r="N5" s="49">
        <f t="shared" si="4"/>
        <v>65.400000000000006</v>
      </c>
      <c r="O5" s="49">
        <f t="shared" si="5"/>
        <v>521.6</v>
      </c>
      <c r="P5" s="49">
        <v>270</v>
      </c>
      <c r="Q5" s="110">
        <v>9</v>
      </c>
      <c r="R5" s="110">
        <f>Q5-'3.1-khoa2018-C1'!H5</f>
        <v>4</v>
      </c>
      <c r="T5" s="21">
        <f>1170+44</f>
        <v>1214</v>
      </c>
      <c r="U5" s="21">
        <f t="shared" si="6"/>
        <v>1274</v>
      </c>
      <c r="V5" s="21">
        <v>1995</v>
      </c>
      <c r="W5" s="21">
        <f t="shared" si="7"/>
        <v>63.9</v>
      </c>
      <c r="X5" s="21">
        <f t="shared" si="8"/>
        <v>509.6</v>
      </c>
      <c r="Y5" s="21">
        <v>270</v>
      </c>
      <c r="Z5" s="21">
        <f t="shared" si="9"/>
        <v>8</v>
      </c>
    </row>
    <row r="6" spans="1:26" s="21" customFormat="1" ht="23.25" customHeight="1" x14ac:dyDescent="0.25">
      <c r="A6" s="49">
        <v>4</v>
      </c>
      <c r="B6" s="51" t="s">
        <v>87</v>
      </c>
      <c r="C6" s="49">
        <f>1170+44</f>
        <v>1214</v>
      </c>
      <c r="D6" s="49">
        <v>1995</v>
      </c>
      <c r="E6" s="49">
        <f t="shared" si="0"/>
        <v>60.9</v>
      </c>
      <c r="F6" s="49">
        <f t="shared" si="1"/>
        <v>485.6</v>
      </c>
      <c r="G6" s="49">
        <v>270</v>
      </c>
      <c r="H6" s="73">
        <f t="shared" si="2"/>
        <v>7</v>
      </c>
      <c r="I6" s="117" t="s">
        <v>33</v>
      </c>
      <c r="J6" s="126"/>
      <c r="K6" s="124">
        <f>1170+44</f>
        <v>1214</v>
      </c>
      <c r="L6" s="110">
        <f t="shared" si="3"/>
        <v>1304</v>
      </c>
      <c r="M6" s="49">
        <v>1995</v>
      </c>
      <c r="N6" s="49">
        <f t="shared" si="4"/>
        <v>65.400000000000006</v>
      </c>
      <c r="O6" s="49">
        <f t="shared" si="5"/>
        <v>521.6</v>
      </c>
      <c r="P6" s="49">
        <v>270</v>
      </c>
      <c r="Q6" s="110">
        <v>9</v>
      </c>
      <c r="R6" s="110">
        <f>Q6-'3.1-khoa2018-C1'!H6</f>
        <v>4</v>
      </c>
      <c r="T6" s="21">
        <f>1170+44</f>
        <v>1214</v>
      </c>
      <c r="U6" s="21">
        <f t="shared" si="6"/>
        <v>1274</v>
      </c>
      <c r="V6" s="21">
        <v>1995</v>
      </c>
      <c r="W6" s="21">
        <f t="shared" si="7"/>
        <v>63.9</v>
      </c>
      <c r="X6" s="21">
        <f t="shared" si="8"/>
        <v>509.6</v>
      </c>
      <c r="Y6" s="21">
        <v>270</v>
      </c>
      <c r="Z6" s="21">
        <f t="shared" si="9"/>
        <v>8</v>
      </c>
    </row>
    <row r="7" spans="1:26" s="21" customFormat="1" ht="23.25" customHeight="1" x14ac:dyDescent="0.25">
      <c r="A7" s="49">
        <v>5</v>
      </c>
      <c r="B7" s="51" t="s">
        <v>88</v>
      </c>
      <c r="C7" s="49">
        <f>1170+44</f>
        <v>1214</v>
      </c>
      <c r="D7" s="49">
        <v>1995</v>
      </c>
      <c r="E7" s="49">
        <f t="shared" si="0"/>
        <v>60.9</v>
      </c>
      <c r="F7" s="49">
        <f t="shared" si="1"/>
        <v>485.6</v>
      </c>
      <c r="G7" s="49">
        <v>270</v>
      </c>
      <c r="H7" s="73">
        <f t="shared" si="2"/>
        <v>7</v>
      </c>
      <c r="I7" s="117" t="s">
        <v>33</v>
      </c>
      <c r="J7" s="126"/>
      <c r="K7" s="124">
        <f>1170+44</f>
        <v>1214</v>
      </c>
      <c r="L7" s="110">
        <f t="shared" si="3"/>
        <v>1304</v>
      </c>
      <c r="M7" s="49">
        <v>1995</v>
      </c>
      <c r="N7" s="49">
        <f t="shared" si="4"/>
        <v>65.400000000000006</v>
      </c>
      <c r="O7" s="49">
        <f t="shared" si="5"/>
        <v>521.6</v>
      </c>
      <c r="P7" s="49">
        <v>270</v>
      </c>
      <c r="Q7" s="110">
        <v>9</v>
      </c>
      <c r="R7" s="110">
        <f>Q7-'3.1-khoa2018-C1'!H7</f>
        <v>4</v>
      </c>
      <c r="T7" s="21">
        <f>1170+44</f>
        <v>1214</v>
      </c>
      <c r="U7" s="21">
        <f t="shared" si="6"/>
        <v>1274</v>
      </c>
      <c r="V7" s="21">
        <v>1995</v>
      </c>
      <c r="W7" s="21">
        <f t="shared" si="7"/>
        <v>63.9</v>
      </c>
      <c r="X7" s="21">
        <f t="shared" si="8"/>
        <v>509.6</v>
      </c>
      <c r="Y7" s="21">
        <v>270</v>
      </c>
      <c r="Z7" s="21">
        <f t="shared" si="9"/>
        <v>8</v>
      </c>
    </row>
    <row r="8" spans="1:26" s="21" customFormat="1" ht="23.25" customHeight="1" x14ac:dyDescent="0.25">
      <c r="A8" s="49">
        <v>6</v>
      </c>
      <c r="B8" s="51" t="s">
        <v>89</v>
      </c>
      <c r="C8" s="49">
        <f>1050+46</f>
        <v>1096</v>
      </c>
      <c r="D8" s="49">
        <v>1935</v>
      </c>
      <c r="E8" s="57">
        <f t="shared" si="0"/>
        <v>56.6</v>
      </c>
      <c r="F8" s="49">
        <f t="shared" si="1"/>
        <v>438.40000000000003</v>
      </c>
      <c r="G8" s="49">
        <v>270</v>
      </c>
      <c r="H8" s="73">
        <f t="shared" si="2"/>
        <v>6</v>
      </c>
      <c r="I8" s="117" t="s">
        <v>34</v>
      </c>
      <c r="J8" s="126"/>
      <c r="K8" s="124">
        <f>1050+46</f>
        <v>1096</v>
      </c>
      <c r="L8" s="110">
        <f t="shared" si="3"/>
        <v>1186</v>
      </c>
      <c r="M8" s="49">
        <v>1935</v>
      </c>
      <c r="N8" s="49">
        <f t="shared" si="4"/>
        <v>61.3</v>
      </c>
      <c r="O8" s="49">
        <f t="shared" si="5"/>
        <v>474.40000000000003</v>
      </c>
      <c r="P8" s="49">
        <v>270</v>
      </c>
      <c r="Q8" s="110">
        <v>7</v>
      </c>
      <c r="R8" s="110">
        <f>Q8-'3.1-khoa2018-C1'!H8</f>
        <v>3</v>
      </c>
      <c r="T8" s="21">
        <f>1050+46</f>
        <v>1096</v>
      </c>
      <c r="U8" s="21">
        <f t="shared" si="6"/>
        <v>1156</v>
      </c>
      <c r="V8" s="21">
        <v>1935</v>
      </c>
      <c r="W8" s="21">
        <f t="shared" si="7"/>
        <v>59.7</v>
      </c>
      <c r="X8" s="21">
        <f t="shared" si="8"/>
        <v>462.40000000000003</v>
      </c>
      <c r="Y8" s="21">
        <v>270</v>
      </c>
      <c r="Z8" s="21">
        <f t="shared" si="9"/>
        <v>6</v>
      </c>
    </row>
    <row r="9" spans="1:26" s="21" customFormat="1" ht="23.25" customHeight="1" x14ac:dyDescent="0.25">
      <c r="A9" s="49">
        <v>7</v>
      </c>
      <c r="B9" s="51" t="s">
        <v>90</v>
      </c>
      <c r="C9" s="49">
        <f>1140+44</f>
        <v>1184</v>
      </c>
      <c r="D9" s="49">
        <v>1890</v>
      </c>
      <c r="E9" s="56">
        <f t="shared" si="0"/>
        <v>62.6</v>
      </c>
      <c r="F9" s="49">
        <f t="shared" si="1"/>
        <v>473.6</v>
      </c>
      <c r="G9" s="49">
        <v>270</v>
      </c>
      <c r="H9" s="73">
        <f t="shared" si="2"/>
        <v>7</v>
      </c>
      <c r="I9" s="117" t="s">
        <v>35</v>
      </c>
      <c r="J9" s="126"/>
      <c r="K9" s="124">
        <f>1140+44</f>
        <v>1184</v>
      </c>
      <c r="L9" s="110">
        <f t="shared" si="3"/>
        <v>1274</v>
      </c>
      <c r="M9" s="49">
        <v>1890</v>
      </c>
      <c r="N9" s="49">
        <f t="shared" si="4"/>
        <v>67.400000000000006</v>
      </c>
      <c r="O9" s="49">
        <f t="shared" si="5"/>
        <v>509.6</v>
      </c>
      <c r="P9" s="49">
        <v>270</v>
      </c>
      <c r="Q9" s="110">
        <v>8</v>
      </c>
      <c r="R9" s="110">
        <f>Q9-'3.1-khoa2018-C1'!H9</f>
        <v>3</v>
      </c>
      <c r="T9" s="21">
        <f>1140+44</f>
        <v>1184</v>
      </c>
      <c r="U9" s="21">
        <f t="shared" si="6"/>
        <v>1244</v>
      </c>
      <c r="V9" s="21">
        <v>1890</v>
      </c>
      <c r="W9" s="21">
        <f t="shared" si="7"/>
        <v>65.8</v>
      </c>
      <c r="X9" s="21">
        <f t="shared" si="8"/>
        <v>497.6</v>
      </c>
      <c r="Y9" s="21">
        <v>270</v>
      </c>
      <c r="Z9" s="21">
        <f t="shared" si="9"/>
        <v>8</v>
      </c>
    </row>
    <row r="10" spans="1:26" s="21" customFormat="1" ht="23.25" customHeight="1" x14ac:dyDescent="0.25">
      <c r="A10" s="49">
        <v>8</v>
      </c>
      <c r="B10" s="51" t="s">
        <v>91</v>
      </c>
      <c r="C10" s="49">
        <f>1140+44</f>
        <v>1184</v>
      </c>
      <c r="D10" s="49">
        <v>1980</v>
      </c>
      <c r="E10" s="57">
        <f t="shared" si="0"/>
        <v>59.8</v>
      </c>
      <c r="F10" s="49">
        <f t="shared" si="1"/>
        <v>473.6</v>
      </c>
      <c r="G10" s="49">
        <v>270</v>
      </c>
      <c r="H10" s="73">
        <f t="shared" si="2"/>
        <v>7</v>
      </c>
      <c r="I10" s="117" t="s">
        <v>35</v>
      </c>
      <c r="J10" s="126"/>
      <c r="K10" s="124">
        <f>1140+44</f>
        <v>1184</v>
      </c>
      <c r="L10" s="110">
        <f t="shared" si="3"/>
        <v>1274</v>
      </c>
      <c r="M10" s="49">
        <v>1980</v>
      </c>
      <c r="N10" s="49">
        <f t="shared" si="4"/>
        <v>64.3</v>
      </c>
      <c r="O10" s="49">
        <f t="shared" si="5"/>
        <v>509.6</v>
      </c>
      <c r="P10" s="49">
        <v>270</v>
      </c>
      <c r="Q10" s="110">
        <v>8</v>
      </c>
      <c r="R10" s="110">
        <f>Q10-'3.1-khoa2018-C1'!H10</f>
        <v>3</v>
      </c>
      <c r="T10" s="21">
        <f>1140+44</f>
        <v>1184</v>
      </c>
      <c r="U10" s="21">
        <f t="shared" si="6"/>
        <v>1244</v>
      </c>
      <c r="V10" s="21">
        <v>1980</v>
      </c>
      <c r="W10" s="21">
        <f t="shared" si="7"/>
        <v>62.8</v>
      </c>
      <c r="X10" s="21">
        <f t="shared" si="8"/>
        <v>497.6</v>
      </c>
      <c r="Y10" s="21">
        <v>270</v>
      </c>
      <c r="Z10" s="21">
        <f t="shared" si="9"/>
        <v>8</v>
      </c>
    </row>
    <row r="11" spans="1:26" s="21" customFormat="1" ht="23.25" customHeight="1" x14ac:dyDescent="0.25">
      <c r="A11" s="49">
        <v>9</v>
      </c>
      <c r="B11" s="51" t="s">
        <v>116</v>
      </c>
      <c r="C11" s="49">
        <f>1140+42</f>
        <v>1182</v>
      </c>
      <c r="D11" s="49">
        <v>1980</v>
      </c>
      <c r="E11" s="57">
        <f t="shared" si="0"/>
        <v>59.7</v>
      </c>
      <c r="F11" s="49">
        <f t="shared" si="1"/>
        <v>472.8</v>
      </c>
      <c r="G11" s="49">
        <v>270</v>
      </c>
      <c r="H11" s="73">
        <f t="shared" si="2"/>
        <v>7</v>
      </c>
      <c r="I11" s="117" t="s">
        <v>37</v>
      </c>
      <c r="J11" s="126"/>
      <c r="K11" s="124">
        <f>1140+42</f>
        <v>1182</v>
      </c>
      <c r="L11" s="110">
        <f t="shared" si="3"/>
        <v>1272</v>
      </c>
      <c r="M11" s="49">
        <v>1980</v>
      </c>
      <c r="N11" s="49">
        <f t="shared" si="4"/>
        <v>64.2</v>
      </c>
      <c r="O11" s="49">
        <f t="shared" si="5"/>
        <v>508.8</v>
      </c>
      <c r="P11" s="49">
        <v>270</v>
      </c>
      <c r="Q11" s="110">
        <v>8</v>
      </c>
      <c r="R11" s="110">
        <f>Q11-'3.1-khoa2018-C1'!H11</f>
        <v>3</v>
      </c>
      <c r="T11" s="21">
        <f>1140+42</f>
        <v>1182</v>
      </c>
      <c r="U11" s="21">
        <f t="shared" si="6"/>
        <v>1242</v>
      </c>
      <c r="V11" s="21">
        <v>1980</v>
      </c>
      <c r="W11" s="21">
        <f t="shared" si="7"/>
        <v>62.7</v>
      </c>
      <c r="X11" s="21">
        <f t="shared" si="8"/>
        <v>496.8</v>
      </c>
      <c r="Y11" s="21">
        <v>270</v>
      </c>
      <c r="Z11" s="21">
        <f t="shared" si="9"/>
        <v>8</v>
      </c>
    </row>
    <row r="12" spans="1:26" s="21" customFormat="1" ht="23.25" customHeight="1" x14ac:dyDescent="0.25">
      <c r="A12" s="49">
        <v>10</v>
      </c>
      <c r="B12" s="51" t="s">
        <v>92</v>
      </c>
      <c r="C12" s="49"/>
      <c r="D12" s="49"/>
      <c r="E12" s="56"/>
      <c r="F12" s="49"/>
      <c r="G12" s="49"/>
      <c r="H12" s="73"/>
      <c r="I12" s="118"/>
      <c r="J12" s="126"/>
      <c r="K12" s="124"/>
      <c r="L12" s="110"/>
      <c r="M12" s="49"/>
      <c r="N12" s="49"/>
      <c r="O12" s="49"/>
      <c r="P12" s="49"/>
      <c r="Q12" s="110"/>
      <c r="R12" s="110"/>
      <c r="U12" s="21">
        <f t="shared" si="6"/>
        <v>60</v>
      </c>
      <c r="W12" s="21" t="e">
        <f t="shared" si="7"/>
        <v>#DIV/0!</v>
      </c>
      <c r="X12" s="21">
        <f t="shared" si="8"/>
        <v>24</v>
      </c>
    </row>
    <row r="13" spans="1:26" s="21" customFormat="1" ht="23.25" customHeight="1" x14ac:dyDescent="0.25">
      <c r="A13" s="49">
        <v>11</v>
      </c>
      <c r="B13" s="51" t="s">
        <v>146</v>
      </c>
      <c r="C13" s="49">
        <f>1240</f>
        <v>1240</v>
      </c>
      <c r="D13" s="49">
        <v>2010</v>
      </c>
      <c r="E13" s="49">
        <f t="shared" si="0"/>
        <v>61.7</v>
      </c>
      <c r="F13" s="49">
        <f t="shared" si="1"/>
        <v>496</v>
      </c>
      <c r="G13" s="49">
        <v>270</v>
      </c>
      <c r="H13" s="73">
        <f t="shared" si="2"/>
        <v>8</v>
      </c>
      <c r="I13" s="117" t="s">
        <v>37</v>
      </c>
      <c r="J13" s="126"/>
      <c r="K13" s="124">
        <f>1240</f>
        <v>1240</v>
      </c>
      <c r="L13" s="110">
        <f t="shared" si="3"/>
        <v>1330</v>
      </c>
      <c r="M13" s="49">
        <v>2010</v>
      </c>
      <c r="N13" s="49">
        <f t="shared" si="4"/>
        <v>66.2</v>
      </c>
      <c r="O13" s="49">
        <f t="shared" si="5"/>
        <v>532</v>
      </c>
      <c r="P13" s="49">
        <v>270</v>
      </c>
      <c r="Q13" s="110">
        <v>9</v>
      </c>
      <c r="R13" s="110">
        <f>Q13-'3.1-khoa2018-C1'!H13</f>
        <v>3</v>
      </c>
      <c r="T13" s="21">
        <f>1240</f>
        <v>1240</v>
      </c>
      <c r="U13" s="21">
        <f t="shared" si="6"/>
        <v>1300</v>
      </c>
      <c r="V13" s="21">
        <v>2010</v>
      </c>
      <c r="W13" s="21">
        <f t="shared" si="7"/>
        <v>64.7</v>
      </c>
      <c r="X13" s="21">
        <f t="shared" si="8"/>
        <v>520</v>
      </c>
      <c r="Y13" s="21">
        <v>270</v>
      </c>
      <c r="Z13" s="21">
        <f t="shared" ref="Z13:Z17" si="10">ROUND((X13-Y13)/30,0)</f>
        <v>8</v>
      </c>
    </row>
    <row r="14" spans="1:26" s="21" customFormat="1" ht="23.25" customHeight="1" x14ac:dyDescent="0.25">
      <c r="A14" s="49">
        <v>12</v>
      </c>
      <c r="B14" s="51" t="s">
        <v>94</v>
      </c>
      <c r="C14" s="49">
        <v>1240</v>
      </c>
      <c r="D14" s="49">
        <v>2010</v>
      </c>
      <c r="E14" s="49">
        <f t="shared" si="0"/>
        <v>61.7</v>
      </c>
      <c r="F14" s="49">
        <f t="shared" si="1"/>
        <v>496</v>
      </c>
      <c r="G14" s="49">
        <v>270</v>
      </c>
      <c r="H14" s="73">
        <f t="shared" si="2"/>
        <v>8</v>
      </c>
      <c r="I14" s="117" t="s">
        <v>37</v>
      </c>
      <c r="J14" s="126"/>
      <c r="K14" s="124">
        <v>1240</v>
      </c>
      <c r="L14" s="110">
        <f t="shared" si="3"/>
        <v>1330</v>
      </c>
      <c r="M14" s="49">
        <v>2010</v>
      </c>
      <c r="N14" s="49">
        <f t="shared" si="4"/>
        <v>66.2</v>
      </c>
      <c r="O14" s="49">
        <f t="shared" si="5"/>
        <v>532</v>
      </c>
      <c r="P14" s="49">
        <v>270</v>
      </c>
      <c r="Q14" s="110">
        <v>9</v>
      </c>
      <c r="R14" s="110">
        <f>Q14-'3.1-khoa2018-C1'!H14</f>
        <v>3</v>
      </c>
      <c r="T14" s="21">
        <v>1240</v>
      </c>
      <c r="U14" s="21">
        <f t="shared" si="6"/>
        <v>1300</v>
      </c>
      <c r="V14" s="21">
        <v>2010</v>
      </c>
      <c r="W14" s="21">
        <f t="shared" si="7"/>
        <v>64.7</v>
      </c>
      <c r="X14" s="21">
        <f t="shared" si="8"/>
        <v>520</v>
      </c>
      <c r="Y14" s="21">
        <v>270</v>
      </c>
      <c r="Z14" s="21">
        <f t="shared" si="10"/>
        <v>8</v>
      </c>
    </row>
    <row r="15" spans="1:26" s="21" customFormat="1" ht="23.25" customHeight="1" x14ac:dyDescent="0.25">
      <c r="A15" s="49">
        <v>13</v>
      </c>
      <c r="B15" s="51" t="s">
        <v>95</v>
      </c>
      <c r="C15" s="49">
        <f>1125+46</f>
        <v>1171</v>
      </c>
      <c r="D15" s="49">
        <v>1980</v>
      </c>
      <c r="E15" s="57">
        <f t="shared" si="0"/>
        <v>59.1</v>
      </c>
      <c r="F15" s="49">
        <f t="shared" si="1"/>
        <v>468.40000000000003</v>
      </c>
      <c r="G15" s="49">
        <v>270</v>
      </c>
      <c r="H15" s="73">
        <f t="shared" si="2"/>
        <v>7</v>
      </c>
      <c r="I15" s="117" t="s">
        <v>36</v>
      </c>
      <c r="J15" s="126"/>
      <c r="K15" s="124">
        <f>1125+46</f>
        <v>1171</v>
      </c>
      <c r="L15" s="110">
        <f t="shared" si="3"/>
        <v>1261</v>
      </c>
      <c r="M15" s="49">
        <v>1980</v>
      </c>
      <c r="N15" s="49">
        <f t="shared" si="4"/>
        <v>63.7</v>
      </c>
      <c r="O15" s="49">
        <f t="shared" si="5"/>
        <v>504.40000000000003</v>
      </c>
      <c r="P15" s="49">
        <v>270</v>
      </c>
      <c r="Q15" s="110">
        <v>8</v>
      </c>
      <c r="R15" s="110">
        <f>Q15-'3.1-khoa2018-C1'!H15</f>
        <v>3</v>
      </c>
      <c r="T15" s="21">
        <f>1125+46</f>
        <v>1171</v>
      </c>
      <c r="U15" s="21">
        <f t="shared" si="6"/>
        <v>1231</v>
      </c>
      <c r="V15" s="21">
        <v>1980</v>
      </c>
      <c r="W15" s="21">
        <f t="shared" si="7"/>
        <v>62.2</v>
      </c>
      <c r="X15" s="21">
        <f t="shared" si="8"/>
        <v>492.40000000000003</v>
      </c>
      <c r="Y15" s="21">
        <v>270</v>
      </c>
      <c r="Z15" s="21">
        <f t="shared" si="10"/>
        <v>7</v>
      </c>
    </row>
    <row r="16" spans="1:26" s="21" customFormat="1" ht="23.25" customHeight="1" x14ac:dyDescent="0.25">
      <c r="A16" s="49">
        <v>14</v>
      </c>
      <c r="B16" s="51" t="s">
        <v>96</v>
      </c>
      <c r="C16" s="49">
        <f>1140+40</f>
        <v>1180</v>
      </c>
      <c r="D16" s="49">
        <v>1980</v>
      </c>
      <c r="E16" s="57">
        <f t="shared" si="0"/>
        <v>59.6</v>
      </c>
      <c r="F16" s="49">
        <f t="shared" si="1"/>
        <v>472</v>
      </c>
      <c r="G16" s="49">
        <v>270</v>
      </c>
      <c r="H16" s="73">
        <f t="shared" si="2"/>
        <v>7</v>
      </c>
      <c r="I16" s="117" t="s">
        <v>38</v>
      </c>
      <c r="J16" s="126"/>
      <c r="K16" s="124">
        <f>1140+40</f>
        <v>1180</v>
      </c>
      <c r="L16" s="110">
        <f t="shared" si="3"/>
        <v>1270</v>
      </c>
      <c r="M16" s="49">
        <v>1980</v>
      </c>
      <c r="N16" s="49">
        <f t="shared" si="4"/>
        <v>64.099999999999994</v>
      </c>
      <c r="O16" s="49">
        <f t="shared" si="5"/>
        <v>508</v>
      </c>
      <c r="P16" s="49">
        <v>270</v>
      </c>
      <c r="Q16" s="110">
        <v>8</v>
      </c>
      <c r="R16" s="110">
        <f>Q16-'3.1-khoa2018-C1'!H16</f>
        <v>3</v>
      </c>
      <c r="T16" s="21">
        <f>1140+40</f>
        <v>1180</v>
      </c>
      <c r="U16" s="21">
        <f t="shared" si="6"/>
        <v>1240</v>
      </c>
      <c r="V16" s="21">
        <v>1980</v>
      </c>
      <c r="W16" s="21">
        <f t="shared" si="7"/>
        <v>62.6</v>
      </c>
      <c r="X16" s="21">
        <f t="shared" si="8"/>
        <v>496</v>
      </c>
      <c r="Y16" s="21">
        <v>270</v>
      </c>
      <c r="Z16" s="21">
        <f t="shared" si="10"/>
        <v>8</v>
      </c>
    </row>
    <row r="17" spans="1:26" s="21" customFormat="1" ht="36" customHeight="1" x14ac:dyDescent="0.25">
      <c r="A17" s="49">
        <v>15</v>
      </c>
      <c r="B17" s="51" t="s">
        <v>97</v>
      </c>
      <c r="C17" s="49">
        <f>1248</f>
        <v>1248</v>
      </c>
      <c r="D17" s="49">
        <v>2010</v>
      </c>
      <c r="E17" s="49">
        <f t="shared" si="0"/>
        <v>62.1</v>
      </c>
      <c r="F17" s="49">
        <f t="shared" si="1"/>
        <v>499.20000000000005</v>
      </c>
      <c r="G17" s="49">
        <v>270</v>
      </c>
      <c r="H17" s="74">
        <f t="shared" si="2"/>
        <v>8</v>
      </c>
      <c r="I17" s="119" t="s">
        <v>42</v>
      </c>
      <c r="J17" s="126"/>
      <c r="K17" s="124">
        <f>1248</f>
        <v>1248</v>
      </c>
      <c r="L17" s="110">
        <f t="shared" si="3"/>
        <v>1338</v>
      </c>
      <c r="M17" s="49">
        <v>2010</v>
      </c>
      <c r="N17" s="49">
        <f t="shared" si="4"/>
        <v>66.599999999999994</v>
      </c>
      <c r="O17" s="49">
        <f t="shared" si="5"/>
        <v>535.20000000000005</v>
      </c>
      <c r="P17" s="49">
        <v>270</v>
      </c>
      <c r="Q17" s="110">
        <v>9</v>
      </c>
      <c r="R17" s="110">
        <f>Q17-'3.1-khoa2018-C1'!H17</f>
        <v>3</v>
      </c>
      <c r="T17" s="21">
        <f>1248</f>
        <v>1248</v>
      </c>
      <c r="U17" s="21">
        <f t="shared" si="6"/>
        <v>1308</v>
      </c>
      <c r="V17" s="21">
        <v>2010</v>
      </c>
      <c r="W17" s="21">
        <f t="shared" si="7"/>
        <v>65.099999999999994</v>
      </c>
      <c r="X17" s="21">
        <f t="shared" si="8"/>
        <v>523.20000000000005</v>
      </c>
      <c r="Y17" s="21">
        <v>270</v>
      </c>
      <c r="Z17" s="21">
        <f t="shared" si="10"/>
        <v>8</v>
      </c>
    </row>
    <row r="18" spans="1:26" s="21" customFormat="1" ht="36" customHeight="1" x14ac:dyDescent="0.25">
      <c r="A18" s="49">
        <v>16</v>
      </c>
      <c r="B18" s="51" t="s">
        <v>98</v>
      </c>
      <c r="C18" s="49">
        <f>1170+52</f>
        <v>1222</v>
      </c>
      <c r="D18" s="49">
        <v>1995</v>
      </c>
      <c r="E18" s="49">
        <f t="shared" si="0"/>
        <v>61.3</v>
      </c>
      <c r="F18" s="49">
        <f t="shared" si="1"/>
        <v>488.8</v>
      </c>
      <c r="G18" s="49">
        <v>270</v>
      </c>
      <c r="H18" s="73">
        <f>ROUND((F18-G18)/30,0)</f>
        <v>7</v>
      </c>
      <c r="I18" s="120" t="s">
        <v>39</v>
      </c>
      <c r="J18" s="126"/>
      <c r="K18" s="124">
        <f>1170+52</f>
        <v>1222</v>
      </c>
      <c r="L18" s="110">
        <f t="shared" si="3"/>
        <v>1312</v>
      </c>
      <c r="M18" s="49">
        <v>1995</v>
      </c>
      <c r="N18" s="49">
        <f t="shared" si="4"/>
        <v>65.8</v>
      </c>
      <c r="O18" s="49">
        <f t="shared" si="5"/>
        <v>524.80000000000007</v>
      </c>
      <c r="P18" s="49">
        <v>270</v>
      </c>
      <c r="Q18" s="110">
        <v>9</v>
      </c>
      <c r="R18" s="110">
        <f>Q18-'3.1-khoa2018-C1'!H18</f>
        <v>3</v>
      </c>
      <c r="T18" s="21">
        <f>1170+52</f>
        <v>1222</v>
      </c>
      <c r="U18" s="21">
        <f t="shared" si="6"/>
        <v>1282</v>
      </c>
      <c r="V18" s="21">
        <v>1995</v>
      </c>
      <c r="W18" s="21">
        <f t="shared" si="7"/>
        <v>64.3</v>
      </c>
      <c r="X18" s="21">
        <f t="shared" si="8"/>
        <v>512.80000000000007</v>
      </c>
      <c r="Y18" s="21">
        <v>270</v>
      </c>
      <c r="Z18" s="21">
        <f>ROUND((X18-Y18)/30,0)</f>
        <v>8</v>
      </c>
    </row>
    <row r="19" spans="1:26" s="21" customFormat="1" ht="36" customHeight="1" x14ac:dyDescent="0.25">
      <c r="A19" s="49">
        <v>17</v>
      </c>
      <c r="B19" s="51" t="s">
        <v>99</v>
      </c>
      <c r="C19" s="49">
        <f>1170+52</f>
        <v>1222</v>
      </c>
      <c r="D19" s="49">
        <v>1995</v>
      </c>
      <c r="E19" s="49">
        <f t="shared" si="0"/>
        <v>61.3</v>
      </c>
      <c r="F19" s="49">
        <f t="shared" si="1"/>
        <v>488.8</v>
      </c>
      <c r="G19" s="49">
        <v>270</v>
      </c>
      <c r="H19" s="74">
        <f t="shared" si="2"/>
        <v>7</v>
      </c>
      <c r="I19" s="119" t="s">
        <v>44</v>
      </c>
      <c r="J19" s="126"/>
      <c r="K19" s="124">
        <f>1170+52</f>
        <v>1222</v>
      </c>
      <c r="L19" s="110">
        <f t="shared" si="3"/>
        <v>1312</v>
      </c>
      <c r="M19" s="49">
        <v>1995</v>
      </c>
      <c r="N19" s="49">
        <f t="shared" si="4"/>
        <v>65.8</v>
      </c>
      <c r="O19" s="49">
        <f t="shared" si="5"/>
        <v>524.80000000000007</v>
      </c>
      <c r="P19" s="49">
        <v>270</v>
      </c>
      <c r="Q19" s="110">
        <v>9</v>
      </c>
      <c r="R19" s="110">
        <f>Q19-'3.1-khoa2018-C1'!H19</f>
        <v>3</v>
      </c>
      <c r="T19" s="21">
        <f>1170+52</f>
        <v>1222</v>
      </c>
      <c r="U19" s="21">
        <f t="shared" si="6"/>
        <v>1282</v>
      </c>
      <c r="V19" s="21">
        <v>1995</v>
      </c>
      <c r="W19" s="21">
        <f t="shared" si="7"/>
        <v>64.3</v>
      </c>
      <c r="X19" s="21">
        <f t="shared" si="8"/>
        <v>512.80000000000007</v>
      </c>
      <c r="Y19" s="21">
        <v>270</v>
      </c>
      <c r="Z19" s="21">
        <f t="shared" ref="Z19:Z20" si="11">ROUND((X19-Y19)/30,0)</f>
        <v>8</v>
      </c>
    </row>
    <row r="20" spans="1:26" s="21" customFormat="1" ht="36" customHeight="1" x14ac:dyDescent="0.25">
      <c r="A20" s="49">
        <v>18</v>
      </c>
      <c r="B20" s="51" t="s">
        <v>100</v>
      </c>
      <c r="C20" s="49">
        <f>1230+54</f>
        <v>1284</v>
      </c>
      <c r="D20" s="49">
        <v>2025</v>
      </c>
      <c r="E20" s="49">
        <f t="shared" si="0"/>
        <v>63.4</v>
      </c>
      <c r="F20" s="49">
        <f t="shared" si="1"/>
        <v>513.6</v>
      </c>
      <c r="G20" s="49">
        <v>270</v>
      </c>
      <c r="H20" s="74">
        <f t="shared" si="2"/>
        <v>8</v>
      </c>
      <c r="I20" s="119" t="s">
        <v>41</v>
      </c>
      <c r="J20" s="126"/>
      <c r="K20" s="124">
        <f>1230+54</f>
        <v>1284</v>
      </c>
      <c r="L20" s="110">
        <f t="shared" si="3"/>
        <v>1374</v>
      </c>
      <c r="M20" s="49">
        <v>2025</v>
      </c>
      <c r="N20" s="49">
        <f t="shared" si="4"/>
        <v>67.900000000000006</v>
      </c>
      <c r="O20" s="49">
        <f t="shared" si="5"/>
        <v>549.6</v>
      </c>
      <c r="P20" s="49">
        <v>270</v>
      </c>
      <c r="Q20" s="110">
        <v>10</v>
      </c>
      <c r="R20" s="110">
        <f>Q20-'3.1-khoa2018-C1'!H20</f>
        <v>4</v>
      </c>
      <c r="T20" s="21">
        <f>1230+54</f>
        <v>1284</v>
      </c>
      <c r="U20" s="21">
        <f t="shared" si="6"/>
        <v>1344</v>
      </c>
      <c r="V20" s="21">
        <v>2025</v>
      </c>
      <c r="W20" s="21">
        <f t="shared" si="7"/>
        <v>66.400000000000006</v>
      </c>
      <c r="X20" s="21">
        <f t="shared" si="8"/>
        <v>537.6</v>
      </c>
      <c r="Y20" s="21">
        <v>270</v>
      </c>
      <c r="Z20" s="21">
        <f t="shared" si="11"/>
        <v>9</v>
      </c>
    </row>
    <row r="21" spans="1:26" s="21" customFormat="1" ht="25.5" customHeight="1" x14ac:dyDescent="0.25">
      <c r="A21" s="49">
        <v>19</v>
      </c>
      <c r="B21" s="51" t="s">
        <v>101</v>
      </c>
      <c r="C21" s="49"/>
      <c r="D21" s="49"/>
      <c r="E21" s="49"/>
      <c r="F21" s="49"/>
      <c r="G21" s="49"/>
      <c r="H21" s="73"/>
      <c r="I21" s="121"/>
      <c r="J21" s="126"/>
      <c r="K21" s="124"/>
      <c r="L21" s="110"/>
      <c r="M21" s="49"/>
      <c r="N21" s="49"/>
      <c r="O21" s="49"/>
      <c r="P21" s="49"/>
      <c r="Q21" s="110"/>
      <c r="R21" s="110"/>
      <c r="U21" s="21">
        <f t="shared" si="6"/>
        <v>60</v>
      </c>
      <c r="W21" s="21" t="e">
        <f t="shared" si="7"/>
        <v>#DIV/0!</v>
      </c>
      <c r="X21" s="21">
        <f t="shared" si="8"/>
        <v>24</v>
      </c>
    </row>
    <row r="22" spans="1:26" s="21" customFormat="1" ht="34.5" customHeight="1" x14ac:dyDescent="0.25">
      <c r="A22" s="49">
        <v>20</v>
      </c>
      <c r="B22" s="51" t="s">
        <v>102</v>
      </c>
      <c r="C22" s="49">
        <v>1248</v>
      </c>
      <c r="D22" s="49">
        <v>2010</v>
      </c>
      <c r="E22" s="49">
        <f t="shared" si="0"/>
        <v>62.1</v>
      </c>
      <c r="F22" s="49">
        <f t="shared" si="1"/>
        <v>499.20000000000005</v>
      </c>
      <c r="G22" s="49">
        <v>270</v>
      </c>
      <c r="H22" s="74">
        <f t="shared" si="2"/>
        <v>8</v>
      </c>
      <c r="I22" s="119" t="s">
        <v>40</v>
      </c>
      <c r="J22" s="126"/>
      <c r="K22" s="124">
        <v>1248</v>
      </c>
      <c r="L22" s="110">
        <f t="shared" si="3"/>
        <v>1338</v>
      </c>
      <c r="M22" s="49">
        <v>2010</v>
      </c>
      <c r="N22" s="49">
        <f t="shared" si="4"/>
        <v>66.599999999999994</v>
      </c>
      <c r="O22" s="49">
        <f t="shared" si="5"/>
        <v>535.20000000000005</v>
      </c>
      <c r="P22" s="49">
        <v>270</v>
      </c>
      <c r="Q22" s="110">
        <v>9</v>
      </c>
      <c r="R22" s="110">
        <f>Q22-'3.1-khoa2018-C1'!H22</f>
        <v>3</v>
      </c>
      <c r="T22" s="21">
        <v>1248</v>
      </c>
      <c r="U22" s="21">
        <f t="shared" si="6"/>
        <v>1308</v>
      </c>
      <c r="V22" s="21">
        <v>2010</v>
      </c>
      <c r="W22" s="21">
        <f t="shared" si="7"/>
        <v>65.099999999999994</v>
      </c>
      <c r="X22" s="21">
        <f t="shared" si="8"/>
        <v>523.20000000000005</v>
      </c>
      <c r="Y22" s="21">
        <v>270</v>
      </c>
      <c r="Z22" s="21">
        <f t="shared" ref="Z22:Z23" si="12">ROUND((X22-Y22)/30,0)</f>
        <v>8</v>
      </c>
    </row>
    <row r="23" spans="1:26" s="21" customFormat="1" ht="34.5" customHeight="1" x14ac:dyDescent="0.25">
      <c r="A23" s="49">
        <v>21</v>
      </c>
      <c r="B23" s="51" t="s">
        <v>103</v>
      </c>
      <c r="C23" s="49">
        <f>1230+48</f>
        <v>1278</v>
      </c>
      <c r="D23" s="49">
        <v>2025</v>
      </c>
      <c r="E23" s="49">
        <f t="shared" ref="E23:E29" si="13">ROUND(C23*100/D23,1)</f>
        <v>63.1</v>
      </c>
      <c r="F23" s="49">
        <f t="shared" si="1"/>
        <v>511.20000000000005</v>
      </c>
      <c r="G23" s="49">
        <v>270</v>
      </c>
      <c r="H23" s="74">
        <f t="shared" si="2"/>
        <v>8</v>
      </c>
      <c r="I23" s="119" t="s">
        <v>43</v>
      </c>
      <c r="J23" s="126"/>
      <c r="K23" s="124">
        <f>1230+48</f>
        <v>1278</v>
      </c>
      <c r="L23" s="110">
        <f t="shared" si="3"/>
        <v>1368</v>
      </c>
      <c r="M23" s="49">
        <v>2025</v>
      </c>
      <c r="N23" s="49">
        <f t="shared" si="4"/>
        <v>67.599999999999994</v>
      </c>
      <c r="O23" s="49">
        <f t="shared" si="5"/>
        <v>547.20000000000005</v>
      </c>
      <c r="P23" s="49">
        <v>270</v>
      </c>
      <c r="Q23" s="110">
        <v>10</v>
      </c>
      <c r="R23" s="110">
        <f>Q23-'3.1-khoa2018-C1'!H23</f>
        <v>4</v>
      </c>
      <c r="T23" s="21">
        <f>1230+48</f>
        <v>1278</v>
      </c>
      <c r="U23" s="21">
        <f t="shared" si="6"/>
        <v>1338</v>
      </c>
      <c r="V23" s="21">
        <v>2025</v>
      </c>
      <c r="W23" s="21">
        <f t="shared" si="7"/>
        <v>66.099999999999994</v>
      </c>
      <c r="X23" s="21">
        <f t="shared" si="8"/>
        <v>535.20000000000005</v>
      </c>
      <c r="Y23" s="21">
        <v>270</v>
      </c>
      <c r="Z23" s="21">
        <f t="shared" si="12"/>
        <v>9</v>
      </c>
    </row>
    <row r="24" spans="1:26" s="21" customFormat="1" ht="22.5" customHeight="1" x14ac:dyDescent="0.25">
      <c r="A24" s="49">
        <v>22</v>
      </c>
      <c r="B24" s="51" t="s">
        <v>104</v>
      </c>
      <c r="C24" s="49"/>
      <c r="D24" s="49"/>
      <c r="E24" s="49"/>
      <c r="F24" s="49"/>
      <c r="G24" s="49"/>
      <c r="H24" s="73"/>
      <c r="I24" s="118"/>
      <c r="J24" s="126"/>
      <c r="K24" s="124"/>
      <c r="L24" s="110"/>
      <c r="M24" s="49"/>
      <c r="N24" s="49"/>
      <c r="O24" s="49"/>
      <c r="P24" s="49"/>
      <c r="Q24" s="110"/>
      <c r="R24" s="110"/>
      <c r="U24" s="21">
        <f t="shared" si="6"/>
        <v>60</v>
      </c>
      <c r="W24" s="21" t="e">
        <f t="shared" si="7"/>
        <v>#DIV/0!</v>
      </c>
      <c r="X24" s="21">
        <f t="shared" si="8"/>
        <v>24</v>
      </c>
    </row>
    <row r="25" spans="1:26" s="21" customFormat="1" ht="22.5" customHeight="1" x14ac:dyDescent="0.25">
      <c r="A25" s="49">
        <v>23</v>
      </c>
      <c r="B25" s="51" t="s">
        <v>105</v>
      </c>
      <c r="C25" s="49">
        <f>930+42</f>
        <v>972</v>
      </c>
      <c r="D25" s="49">
        <v>1860</v>
      </c>
      <c r="E25" s="52">
        <f t="shared" si="13"/>
        <v>52.3</v>
      </c>
      <c r="F25" s="49">
        <f t="shared" si="1"/>
        <v>388.8</v>
      </c>
      <c r="G25" s="49">
        <v>270</v>
      </c>
      <c r="H25" s="73">
        <f t="shared" si="2"/>
        <v>4</v>
      </c>
      <c r="I25" s="117" t="s">
        <v>46</v>
      </c>
      <c r="J25" s="126"/>
      <c r="K25" s="124">
        <f>930+42</f>
        <v>972</v>
      </c>
      <c r="L25" s="110">
        <f t="shared" si="3"/>
        <v>1062</v>
      </c>
      <c r="M25" s="49">
        <v>1860</v>
      </c>
      <c r="N25" s="113">
        <f t="shared" si="4"/>
        <v>57.1</v>
      </c>
      <c r="O25" s="49">
        <f t="shared" si="5"/>
        <v>424.8</v>
      </c>
      <c r="P25" s="49">
        <v>270</v>
      </c>
      <c r="Q25" s="110">
        <v>6</v>
      </c>
      <c r="R25" s="110">
        <f>Q25-'3.1-khoa2018-C1'!H25</f>
        <v>4</v>
      </c>
      <c r="T25" s="21">
        <f>930+42</f>
        <v>972</v>
      </c>
      <c r="U25" s="21">
        <f t="shared" si="6"/>
        <v>1032</v>
      </c>
      <c r="V25" s="21">
        <v>1860</v>
      </c>
      <c r="W25" s="21">
        <f t="shared" si="7"/>
        <v>55.5</v>
      </c>
      <c r="X25" s="21">
        <f t="shared" si="8"/>
        <v>412.8</v>
      </c>
      <c r="Y25" s="21">
        <v>270</v>
      </c>
      <c r="Z25" s="21">
        <f t="shared" ref="Z25:Z26" si="14">ROUND((X25-Y25)/30,0)</f>
        <v>5</v>
      </c>
    </row>
    <row r="26" spans="1:26" s="21" customFormat="1" ht="32.25" customHeight="1" x14ac:dyDescent="0.25">
      <c r="A26" s="49">
        <v>24</v>
      </c>
      <c r="B26" s="51" t="s">
        <v>106</v>
      </c>
      <c r="C26" s="49">
        <f>960+48</f>
        <v>1008</v>
      </c>
      <c r="D26" s="49">
        <v>1875</v>
      </c>
      <c r="E26" s="52">
        <f t="shared" si="13"/>
        <v>53.8</v>
      </c>
      <c r="F26" s="49">
        <f t="shared" si="1"/>
        <v>403.20000000000005</v>
      </c>
      <c r="G26" s="49">
        <v>270</v>
      </c>
      <c r="H26" s="73">
        <f t="shared" si="2"/>
        <v>4</v>
      </c>
      <c r="I26" s="120" t="s">
        <v>64</v>
      </c>
      <c r="J26" s="126"/>
      <c r="K26" s="124">
        <f>960+48</f>
        <v>1008</v>
      </c>
      <c r="L26" s="110">
        <f t="shared" si="3"/>
        <v>1098</v>
      </c>
      <c r="M26" s="49">
        <v>1875</v>
      </c>
      <c r="N26" s="112">
        <f t="shared" si="4"/>
        <v>58.6</v>
      </c>
      <c r="O26" s="49">
        <f t="shared" si="5"/>
        <v>439.20000000000005</v>
      </c>
      <c r="P26" s="49">
        <v>270</v>
      </c>
      <c r="Q26" s="110">
        <v>6</v>
      </c>
      <c r="R26" s="110">
        <f>Q26-'3.1-khoa2018-C1'!H26</f>
        <v>3</v>
      </c>
      <c r="T26" s="21">
        <f>960+48</f>
        <v>1008</v>
      </c>
      <c r="U26" s="21">
        <f t="shared" si="6"/>
        <v>1068</v>
      </c>
      <c r="V26" s="21">
        <v>1875</v>
      </c>
      <c r="W26" s="21">
        <f t="shared" si="7"/>
        <v>57</v>
      </c>
      <c r="X26" s="21">
        <f t="shared" si="8"/>
        <v>427.20000000000005</v>
      </c>
      <c r="Y26" s="21">
        <v>270</v>
      </c>
      <c r="Z26" s="21">
        <f t="shared" si="14"/>
        <v>5</v>
      </c>
    </row>
    <row r="27" spans="1:26" s="21" customFormat="1" ht="25.5" customHeight="1" x14ac:dyDescent="0.25">
      <c r="A27" s="49">
        <v>25</v>
      </c>
      <c r="B27" s="51" t="s">
        <v>107</v>
      </c>
      <c r="C27" s="49"/>
      <c r="D27" s="49"/>
      <c r="E27" s="56"/>
      <c r="F27" s="49"/>
      <c r="G27" s="49"/>
      <c r="H27" s="73"/>
      <c r="I27" s="118"/>
      <c r="J27" s="126"/>
      <c r="K27" s="124"/>
      <c r="L27" s="110"/>
      <c r="M27" s="49"/>
      <c r="N27" s="49"/>
      <c r="O27" s="49"/>
      <c r="P27" s="49"/>
      <c r="Q27" s="110"/>
      <c r="R27" s="110"/>
      <c r="U27" s="21">
        <f t="shared" si="6"/>
        <v>60</v>
      </c>
      <c r="W27" s="21" t="e">
        <f t="shared" si="7"/>
        <v>#DIV/0!</v>
      </c>
      <c r="X27" s="21">
        <f t="shared" si="8"/>
        <v>24</v>
      </c>
    </row>
    <row r="28" spans="1:26" s="21" customFormat="1" ht="25.5" customHeight="1" x14ac:dyDescent="0.25">
      <c r="A28" s="49">
        <v>26</v>
      </c>
      <c r="B28" s="51" t="s">
        <v>108</v>
      </c>
      <c r="C28" s="49">
        <f>990+48</f>
        <v>1038</v>
      </c>
      <c r="D28" s="49">
        <v>1905</v>
      </c>
      <c r="E28" s="52">
        <f t="shared" si="13"/>
        <v>54.5</v>
      </c>
      <c r="F28" s="49">
        <f t="shared" si="1"/>
        <v>415.20000000000005</v>
      </c>
      <c r="G28" s="49">
        <v>270</v>
      </c>
      <c r="H28" s="73">
        <f t="shared" si="2"/>
        <v>5</v>
      </c>
      <c r="I28" s="117" t="s">
        <v>48</v>
      </c>
      <c r="J28" s="126"/>
      <c r="K28" s="124">
        <f>990+48</f>
        <v>1038</v>
      </c>
      <c r="L28" s="110">
        <f t="shared" si="3"/>
        <v>1128</v>
      </c>
      <c r="M28" s="49">
        <v>1905</v>
      </c>
      <c r="N28" s="113">
        <f t="shared" si="4"/>
        <v>59.2</v>
      </c>
      <c r="O28" s="49">
        <f t="shared" si="5"/>
        <v>451.20000000000005</v>
      </c>
      <c r="P28" s="49">
        <v>270</v>
      </c>
      <c r="Q28" s="110">
        <v>6</v>
      </c>
      <c r="R28" s="110">
        <f>Q28-'3.1-khoa2018-C1'!H28</f>
        <v>3</v>
      </c>
      <c r="T28" s="21">
        <f>990+48</f>
        <v>1038</v>
      </c>
      <c r="U28" s="21">
        <f t="shared" si="6"/>
        <v>1098</v>
      </c>
      <c r="V28" s="21">
        <v>1905</v>
      </c>
      <c r="W28" s="21">
        <f t="shared" si="7"/>
        <v>57.6</v>
      </c>
      <c r="X28" s="21">
        <f t="shared" si="8"/>
        <v>439.20000000000005</v>
      </c>
      <c r="Y28" s="21">
        <v>270</v>
      </c>
      <c r="Z28" s="21">
        <f t="shared" ref="Z28:Z29" si="15">ROUND((X28-Y28)/30,0)</f>
        <v>6</v>
      </c>
    </row>
    <row r="29" spans="1:26" s="21" customFormat="1" ht="25.5" customHeight="1" x14ac:dyDescent="0.25">
      <c r="A29" s="49">
        <v>27</v>
      </c>
      <c r="B29" s="51" t="s">
        <v>109</v>
      </c>
      <c r="C29" s="49">
        <v>1250</v>
      </c>
      <c r="D29" s="49">
        <v>2010</v>
      </c>
      <c r="E29" s="49">
        <f t="shared" si="13"/>
        <v>62.2</v>
      </c>
      <c r="F29" s="49">
        <f t="shared" si="1"/>
        <v>500</v>
      </c>
      <c r="G29" s="49">
        <v>270</v>
      </c>
      <c r="H29" s="73">
        <f t="shared" si="2"/>
        <v>8</v>
      </c>
      <c r="I29" s="117" t="s">
        <v>45</v>
      </c>
      <c r="J29" s="126"/>
      <c r="K29" s="124">
        <v>1250</v>
      </c>
      <c r="L29" s="110">
        <f t="shared" si="3"/>
        <v>1340</v>
      </c>
      <c r="M29" s="49">
        <v>2010</v>
      </c>
      <c r="N29" s="49">
        <f t="shared" si="4"/>
        <v>66.7</v>
      </c>
      <c r="O29" s="49">
        <f t="shared" si="5"/>
        <v>536</v>
      </c>
      <c r="P29" s="49">
        <v>270</v>
      </c>
      <c r="Q29" s="110">
        <v>9</v>
      </c>
      <c r="R29" s="110">
        <f>Q29-'3.1-khoa2018-C1'!H29</f>
        <v>3</v>
      </c>
      <c r="T29" s="21">
        <v>1250</v>
      </c>
      <c r="U29" s="21">
        <f t="shared" si="6"/>
        <v>1310</v>
      </c>
      <c r="V29" s="21">
        <v>2010</v>
      </c>
      <c r="W29" s="21">
        <f t="shared" si="7"/>
        <v>65.2</v>
      </c>
      <c r="X29" s="21">
        <f t="shared" si="8"/>
        <v>524</v>
      </c>
      <c r="Y29" s="21">
        <v>270</v>
      </c>
      <c r="Z29" s="21">
        <f t="shared" si="15"/>
        <v>8</v>
      </c>
    </row>
    <row r="30" spans="1:26" s="21" customFormat="1" ht="25.5" customHeight="1" x14ac:dyDescent="0.25">
      <c r="A30" s="141" t="s">
        <v>65</v>
      </c>
      <c r="B30" s="141"/>
      <c r="C30" s="68" t="s">
        <v>67</v>
      </c>
      <c r="D30" s="49"/>
      <c r="E30" s="49"/>
      <c r="F30" s="49"/>
      <c r="G30" s="49"/>
      <c r="H30" s="49"/>
      <c r="I30" s="122"/>
      <c r="J30" s="126"/>
      <c r="L30" s="125" t="s">
        <v>175</v>
      </c>
      <c r="M30" s="49"/>
      <c r="N30" s="49"/>
      <c r="O30" s="49"/>
      <c r="P30" s="49"/>
      <c r="Q30" s="49"/>
      <c r="R30" s="49"/>
      <c r="T30" s="21" t="s">
        <v>67</v>
      </c>
    </row>
    <row r="31" spans="1:26" s="4" customFormat="1" ht="18.75" hidden="1" customHeight="1" x14ac:dyDescent="0.25">
      <c r="B31" s="9"/>
      <c r="C31" s="12"/>
      <c r="D31" s="12"/>
      <c r="E31" s="12"/>
      <c r="F31" s="12"/>
      <c r="G31" s="12"/>
      <c r="H31" s="12"/>
      <c r="I31" s="12"/>
    </row>
    <row r="32" spans="1:26" s="4" customFormat="1" ht="18.75" hidden="1" customHeight="1" x14ac:dyDescent="0.25">
      <c r="B32" s="9"/>
      <c r="C32" s="12"/>
      <c r="D32" s="12"/>
      <c r="F32" s="12"/>
      <c r="G32" s="12"/>
      <c r="H32" s="12"/>
      <c r="I32" s="12"/>
    </row>
    <row r="33" spans="2:9" s="4" customFormat="1" ht="18.75" hidden="1" customHeight="1" x14ac:dyDescent="0.25">
      <c r="B33" s="13" t="s">
        <v>76</v>
      </c>
      <c r="D33" s="12"/>
      <c r="E33" s="12"/>
      <c r="F33" s="12"/>
      <c r="G33" s="12"/>
      <c r="H33" s="12"/>
      <c r="I33" s="12"/>
    </row>
    <row r="34" spans="2:9" s="4" customFormat="1" ht="18.75" hidden="1" customHeight="1" x14ac:dyDescent="0.25">
      <c r="B34" s="22" t="s">
        <v>74</v>
      </c>
      <c r="E34" s="12"/>
      <c r="F34" s="27">
        <v>0.60860000000000003</v>
      </c>
      <c r="G34" s="12"/>
      <c r="I34" s="12"/>
    </row>
    <row r="35" spans="2:9" s="4" customFormat="1" ht="18.75" hidden="1" customHeight="1" x14ac:dyDescent="0.25">
      <c r="B35" s="22" t="s">
        <v>75</v>
      </c>
      <c r="D35" s="12"/>
      <c r="E35" s="12"/>
      <c r="F35" s="27">
        <v>0.91300000000000003</v>
      </c>
      <c r="G35" s="12"/>
      <c r="I35" s="12"/>
    </row>
    <row r="36" spans="2:9" s="4" customFormat="1" ht="11.25" hidden="1" customHeight="1" x14ac:dyDescent="0.25">
      <c r="B36" s="12"/>
      <c r="D36" s="12"/>
      <c r="E36" s="12"/>
      <c r="F36" s="12"/>
      <c r="G36" s="12"/>
      <c r="H36" s="12"/>
      <c r="I36" s="12"/>
    </row>
    <row r="37" spans="2:9" s="4" customFormat="1" ht="18.75" hidden="1" customHeight="1" x14ac:dyDescent="0.25">
      <c r="B37" s="13" t="s">
        <v>82</v>
      </c>
      <c r="C37" s="32"/>
      <c r="D37" s="11"/>
      <c r="E37" s="11"/>
      <c r="F37" s="11"/>
      <c r="G37" s="32"/>
      <c r="H37" s="33">
        <v>0.68179999999999996</v>
      </c>
      <c r="I37" s="12"/>
    </row>
    <row r="38" spans="2:9" s="4" customFormat="1" ht="20.25" hidden="1" customHeight="1" x14ac:dyDescent="0.25">
      <c r="B38" s="10" t="s">
        <v>83</v>
      </c>
      <c r="C38" s="32"/>
      <c r="D38" s="10"/>
      <c r="E38" s="10"/>
      <c r="F38" s="10"/>
      <c r="G38" s="10"/>
      <c r="H38" s="33">
        <v>0.95450000000000002</v>
      </c>
      <c r="I38" s="12"/>
    </row>
    <row r="39" spans="2:9" ht="20.25" customHeight="1" x14ac:dyDescent="0.25"/>
    <row r="40" spans="2:9" ht="18.75" customHeight="1" x14ac:dyDescent="0.25"/>
    <row r="41" spans="2:9" ht="18.75" customHeight="1" x14ac:dyDescent="0.25"/>
    <row r="42" spans="2:9" ht="18.75" customHeight="1" x14ac:dyDescent="0.25"/>
    <row r="43" spans="2:9" ht="18.75" customHeight="1" x14ac:dyDescent="0.25"/>
    <row r="44" spans="2:9" ht="18.75" customHeight="1" x14ac:dyDescent="0.25"/>
    <row r="45" spans="2:9" ht="18.75" customHeight="1" x14ac:dyDescent="0.25"/>
    <row r="46" spans="2:9" ht="18.75" customHeight="1" x14ac:dyDescent="0.25"/>
    <row r="47" spans="2:9" ht="18.75" customHeight="1" x14ac:dyDescent="0.25"/>
    <row r="48" spans="2:9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R1"/>
  </mergeCells>
  <printOptions horizontalCentered="1"/>
  <pageMargins left="0.11811023622047245" right="0.11811023622047245" top="0.11811023622047245" bottom="0.1181102362204724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Z129"/>
  <sheetViews>
    <sheetView zoomScale="115" zoomScaleNormal="115" workbookViewId="0">
      <selection activeCell="F25" sqref="F25"/>
    </sheetView>
  </sheetViews>
  <sheetFormatPr defaultRowHeight="15" x14ac:dyDescent="0.25"/>
  <cols>
    <col min="1" max="1" width="3.5703125" style="2" customWidth="1"/>
    <col min="2" max="2" width="29.7109375" style="2" customWidth="1"/>
    <col min="3" max="3" width="9.42578125" style="2" customWidth="1"/>
    <col min="4" max="4" width="9.28515625" style="2" customWidth="1"/>
    <col min="5" max="5" width="12" style="2" customWidth="1"/>
    <col min="6" max="6" width="11.28515625" style="2" customWidth="1"/>
    <col min="7" max="7" width="10.42578125" style="2" customWidth="1"/>
    <col min="8" max="8" width="14.85546875" style="2" customWidth="1"/>
    <col min="9" max="9" width="16.140625" style="3" hidden="1" customWidth="1"/>
    <col min="10" max="10" width="9.140625" style="3" customWidth="1"/>
    <col min="11" max="11" width="2.42578125" style="17" customWidth="1"/>
    <col min="12" max="12" width="19.140625" style="2" customWidth="1"/>
    <col min="13" max="14" width="8.7109375" style="2" customWidth="1"/>
    <col min="15" max="15" width="10.28515625" style="2" customWidth="1"/>
    <col min="16" max="16" width="8.85546875" style="2" customWidth="1"/>
    <col min="17" max="17" width="8.85546875" style="3" customWidth="1"/>
    <col min="18" max="19" width="9.28515625" style="2" customWidth="1"/>
    <col min="20" max="20" width="3.5703125" style="2" customWidth="1"/>
    <col min="21" max="22" width="8.5703125" style="40" customWidth="1"/>
    <col min="23" max="23" width="10.7109375" style="40" customWidth="1"/>
    <col min="24" max="24" width="8.140625" style="40" customWidth="1"/>
    <col min="25" max="25" width="8.140625" style="42" customWidth="1"/>
    <col min="26" max="26" width="8.7109375" style="40" customWidth="1"/>
    <col min="27" max="16384" width="9.140625" style="2"/>
  </cols>
  <sheetData>
    <row r="1" spans="1:26" s="1" customFormat="1" ht="63" customHeight="1" x14ac:dyDescent="0.25">
      <c r="A1" s="144" t="s">
        <v>156</v>
      </c>
      <c r="B1" s="144"/>
      <c r="C1" s="144"/>
      <c r="D1" s="144"/>
      <c r="E1" s="144"/>
      <c r="F1" s="144"/>
      <c r="G1" s="144"/>
      <c r="H1" s="144"/>
      <c r="I1" s="102"/>
      <c r="J1" s="47"/>
      <c r="K1" s="143" t="s">
        <v>26</v>
      </c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</row>
    <row r="2" spans="1:26" s="21" customFormat="1" ht="63" customHeight="1" x14ac:dyDescent="0.25">
      <c r="A2" s="50" t="s">
        <v>110</v>
      </c>
      <c r="B2" s="19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162</v>
      </c>
      <c r="I2" s="75" t="s">
        <v>125</v>
      </c>
    </row>
    <row r="3" spans="1:26" s="21" customFormat="1" ht="25.5" customHeight="1" x14ac:dyDescent="0.25">
      <c r="A3" s="49">
        <v>1</v>
      </c>
      <c r="B3" s="51" t="s">
        <v>84</v>
      </c>
      <c r="C3" s="56">
        <v>1395</v>
      </c>
      <c r="D3" s="56">
        <f>780+38</f>
        <v>818</v>
      </c>
      <c r="E3" s="52">
        <f t="shared" ref="E3:E11" si="0">ROUND(D3*100/C3,1)</f>
        <v>58.6</v>
      </c>
      <c r="F3" s="49">
        <f t="shared" ref="F3:F11" si="1">D3*0.4</f>
        <v>327.20000000000005</v>
      </c>
      <c r="G3" s="49">
        <v>270</v>
      </c>
      <c r="H3" s="73">
        <v>2</v>
      </c>
      <c r="I3" s="76" t="s">
        <v>51</v>
      </c>
      <c r="J3" s="79"/>
      <c r="K3" s="55"/>
      <c r="L3" s="48" t="s">
        <v>0</v>
      </c>
      <c r="M3" s="49">
        <f>645+20+165+12</f>
        <v>842</v>
      </c>
      <c r="N3" s="49">
        <f>390+1050</f>
        <v>1440</v>
      </c>
      <c r="O3" s="57">
        <f>ROUND(M3*100/N3,1)</f>
        <v>58.5</v>
      </c>
      <c r="P3" s="49">
        <f>M3*0.4</f>
        <v>336.8</v>
      </c>
      <c r="Q3" s="49">
        <v>270</v>
      </c>
      <c r="R3" s="53">
        <f>ROUND((P3-Q3)/30,0)</f>
        <v>2</v>
      </c>
      <c r="S3" s="54" t="s">
        <v>63</v>
      </c>
      <c r="T3" s="58"/>
      <c r="U3" s="59">
        <f>645+20</f>
        <v>665</v>
      </c>
      <c r="V3" s="59">
        <v>1050</v>
      </c>
      <c r="W3" s="59">
        <f>ROUND(U3*100/V3,1)</f>
        <v>63.3</v>
      </c>
      <c r="X3" s="60">
        <f>U3*0.4</f>
        <v>266</v>
      </c>
      <c r="Y3" s="60">
        <v>270</v>
      </c>
      <c r="Z3" s="61">
        <f>ROUND((X3-Y3)/30,0)</f>
        <v>0</v>
      </c>
    </row>
    <row r="4" spans="1:26" s="21" customFormat="1" ht="25.5" customHeight="1" x14ac:dyDescent="0.25">
      <c r="A4" s="49">
        <v>2</v>
      </c>
      <c r="B4" s="51" t="s">
        <v>85</v>
      </c>
      <c r="C4" s="49">
        <v>1515</v>
      </c>
      <c r="D4" s="49">
        <f>1020+30</f>
        <v>1050</v>
      </c>
      <c r="E4" s="49">
        <f t="shared" si="0"/>
        <v>69.3</v>
      </c>
      <c r="F4" s="49">
        <f t="shared" si="1"/>
        <v>420</v>
      </c>
      <c r="G4" s="49">
        <v>270</v>
      </c>
      <c r="H4" s="73">
        <f t="shared" ref="H4:H7" si="2">(F4-G4)/30</f>
        <v>5</v>
      </c>
      <c r="I4" s="76" t="s">
        <v>37</v>
      </c>
      <c r="J4" s="79"/>
      <c r="K4" s="55"/>
      <c r="L4" s="48" t="s">
        <v>1</v>
      </c>
      <c r="M4" s="49">
        <f>795+16+165+12</f>
        <v>988</v>
      </c>
      <c r="N4" s="49">
        <f>390+1125</f>
        <v>1515</v>
      </c>
      <c r="O4" s="49">
        <f t="shared" ref="O4:O7" si="3">ROUND(M4*100/N4,1)</f>
        <v>65.2</v>
      </c>
      <c r="P4" s="49">
        <f t="shared" ref="P4:P34" si="4">M4*0.4</f>
        <v>395.20000000000005</v>
      </c>
      <c r="Q4" s="49">
        <v>270</v>
      </c>
      <c r="R4" s="53">
        <f t="shared" ref="R4:R34" si="5">ROUND((P4-Q4)/30,0)</f>
        <v>4</v>
      </c>
      <c r="S4" s="54" t="s">
        <v>51</v>
      </c>
      <c r="T4" s="62"/>
      <c r="U4" s="60">
        <f>795+16</f>
        <v>811</v>
      </c>
      <c r="V4" s="60">
        <v>1125</v>
      </c>
      <c r="W4" s="60">
        <f t="shared" ref="W4:W5" si="6">ROUND(U4*100/V4,1)</f>
        <v>72.099999999999994</v>
      </c>
      <c r="X4" s="60">
        <f t="shared" ref="X4:X29" si="7">U4*0.4</f>
        <v>324.40000000000003</v>
      </c>
      <c r="Y4" s="60">
        <v>270</v>
      </c>
      <c r="Z4" s="61">
        <f t="shared" ref="Z4:Z29" si="8">ROUND((X4-Y4)/30,0)</f>
        <v>2</v>
      </c>
    </row>
    <row r="5" spans="1:26" s="21" customFormat="1" ht="25.5" customHeight="1" x14ac:dyDescent="0.25">
      <c r="A5" s="49">
        <v>3</v>
      </c>
      <c r="B5" s="51" t="s">
        <v>86</v>
      </c>
      <c r="C5" s="56">
        <v>1515</v>
      </c>
      <c r="D5" s="56">
        <f>1020+30</f>
        <v>1050</v>
      </c>
      <c r="E5" s="49">
        <f t="shared" si="0"/>
        <v>69.3</v>
      </c>
      <c r="F5" s="49">
        <f t="shared" si="1"/>
        <v>420</v>
      </c>
      <c r="G5" s="49">
        <v>270</v>
      </c>
      <c r="H5" s="73">
        <f t="shared" si="2"/>
        <v>5</v>
      </c>
      <c r="I5" s="76" t="s">
        <v>37</v>
      </c>
      <c r="J5" s="79"/>
      <c r="K5" s="55"/>
      <c r="L5" s="48" t="s">
        <v>2</v>
      </c>
      <c r="M5" s="49">
        <f>165+12+735+18</f>
        <v>930</v>
      </c>
      <c r="N5" s="49">
        <f>1095+390</f>
        <v>1485</v>
      </c>
      <c r="O5" s="49">
        <f t="shared" si="3"/>
        <v>62.6</v>
      </c>
      <c r="P5" s="49">
        <f t="shared" si="4"/>
        <v>372</v>
      </c>
      <c r="Q5" s="49">
        <v>270</v>
      </c>
      <c r="R5" s="53">
        <f t="shared" si="5"/>
        <v>3</v>
      </c>
      <c r="S5" s="54" t="s">
        <v>50</v>
      </c>
      <c r="T5" s="62"/>
      <c r="U5" s="60">
        <v>735</v>
      </c>
      <c r="V5" s="60">
        <v>1095</v>
      </c>
      <c r="W5" s="60">
        <f t="shared" si="6"/>
        <v>67.099999999999994</v>
      </c>
      <c r="X5" s="60">
        <f t="shared" si="7"/>
        <v>294</v>
      </c>
      <c r="Y5" s="60">
        <v>271</v>
      </c>
      <c r="Z5" s="61">
        <f t="shared" si="8"/>
        <v>1</v>
      </c>
    </row>
    <row r="6" spans="1:26" s="21" customFormat="1" ht="25.5" customHeight="1" x14ac:dyDescent="0.25">
      <c r="A6" s="49">
        <v>4</v>
      </c>
      <c r="B6" s="51" t="s">
        <v>87</v>
      </c>
      <c r="C6" s="49">
        <v>1515</v>
      </c>
      <c r="D6" s="49">
        <f>1020+30</f>
        <v>1050</v>
      </c>
      <c r="E6" s="49">
        <f t="shared" si="0"/>
        <v>69.3</v>
      </c>
      <c r="F6" s="49">
        <f t="shared" si="1"/>
        <v>420</v>
      </c>
      <c r="G6" s="49">
        <v>270</v>
      </c>
      <c r="H6" s="73">
        <f t="shared" si="2"/>
        <v>5</v>
      </c>
      <c r="I6" s="76" t="s">
        <v>37</v>
      </c>
      <c r="J6" s="79"/>
      <c r="K6" s="55"/>
      <c r="L6" s="48" t="s">
        <v>3</v>
      </c>
      <c r="M6" s="49"/>
      <c r="N6" s="49"/>
      <c r="O6" s="49"/>
      <c r="P6" s="49"/>
      <c r="Q6" s="49"/>
      <c r="R6" s="53"/>
      <c r="S6" s="54"/>
      <c r="T6" s="62"/>
      <c r="U6" s="60"/>
      <c r="V6" s="60"/>
      <c r="W6" s="60"/>
      <c r="X6" s="60"/>
      <c r="Y6" s="60"/>
      <c r="Z6" s="61"/>
    </row>
    <row r="7" spans="1:26" s="21" customFormat="1" ht="25.5" customHeight="1" x14ac:dyDescent="0.25">
      <c r="A7" s="49">
        <v>5</v>
      </c>
      <c r="B7" s="51" t="s">
        <v>88</v>
      </c>
      <c r="C7" s="49">
        <v>1515</v>
      </c>
      <c r="D7" s="49">
        <f>1020+30</f>
        <v>1050</v>
      </c>
      <c r="E7" s="49">
        <f t="shared" si="0"/>
        <v>69.3</v>
      </c>
      <c r="F7" s="49">
        <f t="shared" si="1"/>
        <v>420</v>
      </c>
      <c r="G7" s="49">
        <v>270</v>
      </c>
      <c r="H7" s="73">
        <f t="shared" si="2"/>
        <v>5</v>
      </c>
      <c r="I7" s="76" t="s">
        <v>37</v>
      </c>
      <c r="J7" s="79"/>
      <c r="K7" s="55"/>
      <c r="L7" s="48" t="s">
        <v>4</v>
      </c>
      <c r="M7" s="49">
        <f>165+12+795+16</f>
        <v>988</v>
      </c>
      <c r="N7" s="49">
        <f>390+1125</f>
        <v>1515</v>
      </c>
      <c r="O7" s="49">
        <f t="shared" si="3"/>
        <v>65.2</v>
      </c>
      <c r="P7" s="49">
        <f t="shared" si="4"/>
        <v>395.20000000000005</v>
      </c>
      <c r="Q7" s="49">
        <v>270</v>
      </c>
      <c r="R7" s="53">
        <f t="shared" si="5"/>
        <v>4</v>
      </c>
      <c r="S7" s="54" t="s">
        <v>51</v>
      </c>
      <c r="T7" s="62"/>
      <c r="U7" s="60">
        <v>811</v>
      </c>
      <c r="V7" s="60">
        <v>1125</v>
      </c>
      <c r="W7" s="60">
        <f t="shared" ref="W7" si="9">ROUND(U7*100/V7,1)</f>
        <v>72.099999999999994</v>
      </c>
      <c r="X7" s="60">
        <f t="shared" ref="X7" si="10">U7*0.4</f>
        <v>324.40000000000003</v>
      </c>
      <c r="Y7" s="60">
        <v>273</v>
      </c>
      <c r="Z7" s="61">
        <f t="shared" ref="Z7" si="11">ROUND((X7-Y7)/30,0)</f>
        <v>2</v>
      </c>
    </row>
    <row r="8" spans="1:26" s="21" customFormat="1" ht="25.5" customHeight="1" x14ac:dyDescent="0.25">
      <c r="A8" s="49">
        <v>6</v>
      </c>
      <c r="B8" s="51" t="s">
        <v>89</v>
      </c>
      <c r="C8" s="49">
        <v>1455</v>
      </c>
      <c r="D8" s="49">
        <f>932</f>
        <v>932</v>
      </c>
      <c r="E8" s="49">
        <f t="shared" si="0"/>
        <v>64.099999999999994</v>
      </c>
      <c r="F8" s="49">
        <f t="shared" si="1"/>
        <v>372.8</v>
      </c>
      <c r="G8" s="49">
        <v>270</v>
      </c>
      <c r="H8" s="73">
        <v>4</v>
      </c>
      <c r="I8" s="76" t="s">
        <v>121</v>
      </c>
      <c r="J8" s="79"/>
      <c r="K8" s="55"/>
      <c r="L8" s="48" t="s">
        <v>5</v>
      </c>
      <c r="M8" s="49"/>
      <c r="N8" s="49"/>
      <c r="O8" s="56"/>
      <c r="P8" s="49"/>
      <c r="Q8" s="49"/>
      <c r="R8" s="53"/>
      <c r="S8" s="53"/>
      <c r="T8" s="58"/>
      <c r="U8" s="59"/>
      <c r="V8" s="59"/>
      <c r="W8" s="59"/>
      <c r="X8" s="60"/>
      <c r="Y8" s="60"/>
      <c r="Z8" s="61"/>
    </row>
    <row r="9" spans="1:26" s="21" customFormat="1" ht="25.5" customHeight="1" x14ac:dyDescent="0.25">
      <c r="A9" s="49">
        <v>7</v>
      </c>
      <c r="B9" s="51" t="s">
        <v>90</v>
      </c>
      <c r="C9" s="49">
        <v>1500</v>
      </c>
      <c r="D9" s="49">
        <f>990+30</f>
        <v>1020</v>
      </c>
      <c r="E9" s="49">
        <f t="shared" si="0"/>
        <v>68</v>
      </c>
      <c r="F9" s="49">
        <f t="shared" si="1"/>
        <v>408</v>
      </c>
      <c r="G9" s="49">
        <v>270</v>
      </c>
      <c r="H9" s="73">
        <v>5</v>
      </c>
      <c r="I9" s="76" t="s">
        <v>120</v>
      </c>
      <c r="J9" s="79"/>
      <c r="K9" s="55"/>
      <c r="L9" s="48" t="s">
        <v>6</v>
      </c>
      <c r="M9" s="49">
        <f>165+12+675+22</f>
        <v>874</v>
      </c>
      <c r="N9" s="49">
        <f>390+1065</f>
        <v>1455</v>
      </c>
      <c r="O9" s="49">
        <f t="shared" ref="O9:O29" si="12">ROUND(M9*100/N9,1)</f>
        <v>60.1</v>
      </c>
      <c r="P9" s="49">
        <f t="shared" si="4"/>
        <v>349.6</v>
      </c>
      <c r="Q9" s="49">
        <v>270</v>
      </c>
      <c r="R9" s="53">
        <f t="shared" si="5"/>
        <v>3</v>
      </c>
      <c r="S9" s="54" t="s">
        <v>52</v>
      </c>
      <c r="T9" s="62"/>
      <c r="U9" s="60">
        <f>675+22</f>
        <v>697</v>
      </c>
      <c r="V9" s="60">
        <v>1065</v>
      </c>
      <c r="W9" s="60">
        <f t="shared" ref="W9:W29" si="13">ROUND(U9*100/V9,1)</f>
        <v>65.400000000000006</v>
      </c>
      <c r="X9" s="60">
        <f t="shared" si="7"/>
        <v>278.8</v>
      </c>
      <c r="Y9" s="60">
        <v>270</v>
      </c>
      <c r="Z9" s="61">
        <f t="shared" si="8"/>
        <v>0</v>
      </c>
    </row>
    <row r="10" spans="1:26" s="21" customFormat="1" ht="25.5" customHeight="1" x14ac:dyDescent="0.25">
      <c r="A10" s="49">
        <v>8</v>
      </c>
      <c r="B10" s="51" t="s">
        <v>91</v>
      </c>
      <c r="C10" s="49">
        <v>1500</v>
      </c>
      <c r="D10" s="49">
        <f>990+30</f>
        <v>1020</v>
      </c>
      <c r="E10" s="49">
        <f t="shared" si="0"/>
        <v>68</v>
      </c>
      <c r="F10" s="49">
        <f t="shared" si="1"/>
        <v>408</v>
      </c>
      <c r="G10" s="49">
        <v>270</v>
      </c>
      <c r="H10" s="73">
        <v>5</v>
      </c>
      <c r="I10" s="76" t="s">
        <v>120</v>
      </c>
      <c r="J10" s="79"/>
      <c r="K10" s="55"/>
      <c r="L10" s="48" t="s">
        <v>7</v>
      </c>
      <c r="M10" s="49">
        <f>765+20+165+12</f>
        <v>962</v>
      </c>
      <c r="N10" s="49">
        <f>390+1110</f>
        <v>1500</v>
      </c>
      <c r="O10" s="49">
        <f t="shared" si="12"/>
        <v>64.099999999999994</v>
      </c>
      <c r="P10" s="49">
        <f t="shared" si="4"/>
        <v>384.8</v>
      </c>
      <c r="Q10" s="49">
        <v>270</v>
      </c>
      <c r="R10" s="53">
        <f t="shared" si="5"/>
        <v>4</v>
      </c>
      <c r="S10" s="54" t="s">
        <v>49</v>
      </c>
      <c r="T10" s="62"/>
      <c r="U10" s="60">
        <f>765+20</f>
        <v>785</v>
      </c>
      <c r="V10" s="60">
        <v>1110</v>
      </c>
      <c r="W10" s="60">
        <f t="shared" si="13"/>
        <v>70.7</v>
      </c>
      <c r="X10" s="60">
        <f t="shared" si="7"/>
        <v>314</v>
      </c>
      <c r="Y10" s="60">
        <v>270</v>
      </c>
      <c r="Z10" s="61">
        <f t="shared" si="8"/>
        <v>1</v>
      </c>
    </row>
    <row r="11" spans="1:26" s="21" customFormat="1" ht="25.5" customHeight="1" x14ac:dyDescent="0.25">
      <c r="A11" s="49">
        <v>9</v>
      </c>
      <c r="B11" s="51" t="s">
        <v>116</v>
      </c>
      <c r="C11" s="49">
        <v>1500</v>
      </c>
      <c r="D11" s="49">
        <f>990+28</f>
        <v>1018</v>
      </c>
      <c r="E11" s="49">
        <f t="shared" si="0"/>
        <v>67.900000000000006</v>
      </c>
      <c r="F11" s="49">
        <f t="shared" si="1"/>
        <v>407.20000000000005</v>
      </c>
      <c r="G11" s="49">
        <v>270</v>
      </c>
      <c r="H11" s="73">
        <v>5</v>
      </c>
      <c r="I11" s="76" t="s">
        <v>35</v>
      </c>
      <c r="J11" s="79"/>
      <c r="K11" s="55"/>
      <c r="L11" s="48" t="s">
        <v>8</v>
      </c>
      <c r="M11" s="49">
        <f>705+16+165+12</f>
        <v>898</v>
      </c>
      <c r="N11" s="49">
        <f>390+1080</f>
        <v>1470</v>
      </c>
      <c r="O11" s="49">
        <f t="shared" si="12"/>
        <v>61.1</v>
      </c>
      <c r="P11" s="49">
        <f t="shared" si="4"/>
        <v>359.20000000000005</v>
      </c>
      <c r="Q11" s="49">
        <v>270</v>
      </c>
      <c r="R11" s="53">
        <f t="shared" si="5"/>
        <v>3</v>
      </c>
      <c r="S11" s="54" t="s">
        <v>35</v>
      </c>
      <c r="T11" s="62"/>
      <c r="U11" s="63"/>
      <c r="V11" s="63"/>
      <c r="W11" s="63"/>
      <c r="X11" s="63"/>
      <c r="Y11" s="63"/>
      <c r="Z11" s="64"/>
    </row>
    <row r="12" spans="1:26" s="21" customFormat="1" ht="25.5" customHeight="1" x14ac:dyDescent="0.25">
      <c r="A12" s="49">
        <v>10</v>
      </c>
      <c r="B12" s="51" t="s">
        <v>92</v>
      </c>
      <c r="C12" s="49"/>
      <c r="D12" s="49"/>
      <c r="E12" s="49"/>
      <c r="F12" s="49"/>
      <c r="G12" s="49"/>
      <c r="H12" s="73"/>
      <c r="I12" s="77"/>
      <c r="J12" s="79"/>
      <c r="K12" s="55"/>
      <c r="L12" s="48" t="s">
        <v>23</v>
      </c>
      <c r="M12" s="49">
        <f>165+12+765+16</f>
        <v>958</v>
      </c>
      <c r="N12" s="49">
        <f>1110+390</f>
        <v>1500</v>
      </c>
      <c r="O12" s="49">
        <f t="shared" si="12"/>
        <v>63.9</v>
      </c>
      <c r="P12" s="49">
        <f t="shared" si="4"/>
        <v>383.20000000000005</v>
      </c>
      <c r="Q12" s="49">
        <v>270</v>
      </c>
      <c r="R12" s="53">
        <f t="shared" si="5"/>
        <v>4</v>
      </c>
      <c r="S12" s="54" t="s">
        <v>35</v>
      </c>
      <c r="T12" s="62"/>
      <c r="U12" s="60">
        <f>765+16</f>
        <v>781</v>
      </c>
      <c r="V12" s="60">
        <v>1110</v>
      </c>
      <c r="W12" s="60">
        <f t="shared" ref="W12" si="14">ROUND(U12*100/V12,1)</f>
        <v>70.400000000000006</v>
      </c>
      <c r="X12" s="60">
        <f t="shared" si="7"/>
        <v>312.40000000000003</v>
      </c>
      <c r="Y12" s="60">
        <v>270</v>
      </c>
      <c r="Z12" s="61">
        <f t="shared" si="8"/>
        <v>1</v>
      </c>
    </row>
    <row r="13" spans="1:26" s="21" customFormat="1" ht="25.5" customHeight="1" x14ac:dyDescent="0.25">
      <c r="A13" s="49">
        <v>11</v>
      </c>
      <c r="B13" s="51" t="s">
        <v>93</v>
      </c>
      <c r="C13" s="49">
        <v>1530</v>
      </c>
      <c r="D13" s="49">
        <f>1050+26</f>
        <v>1076</v>
      </c>
      <c r="E13" s="49">
        <f t="shared" ref="E13:E20" si="15">ROUND(D13*100/C13,1)</f>
        <v>70.3</v>
      </c>
      <c r="F13" s="49">
        <f t="shared" ref="F13:F20" si="16">D13*0.4</f>
        <v>430.40000000000003</v>
      </c>
      <c r="G13" s="49">
        <v>270</v>
      </c>
      <c r="H13" s="73">
        <v>6</v>
      </c>
      <c r="I13" s="76" t="s">
        <v>48</v>
      </c>
      <c r="J13" s="79"/>
      <c r="K13" s="55"/>
      <c r="L13" s="48" t="s">
        <v>9</v>
      </c>
      <c r="M13" s="49"/>
      <c r="N13" s="49"/>
      <c r="O13" s="49"/>
      <c r="P13" s="49"/>
      <c r="Q13" s="49"/>
      <c r="R13" s="53"/>
      <c r="S13" s="53"/>
      <c r="T13" s="62"/>
      <c r="U13" s="63"/>
      <c r="V13" s="63"/>
      <c r="W13" s="63"/>
      <c r="X13" s="63"/>
      <c r="Y13" s="63"/>
      <c r="Z13" s="64"/>
    </row>
    <row r="14" spans="1:26" s="21" customFormat="1" ht="25.5" customHeight="1" x14ac:dyDescent="0.25">
      <c r="A14" s="49">
        <v>12</v>
      </c>
      <c r="B14" s="51" t="s">
        <v>94</v>
      </c>
      <c r="C14" s="49">
        <v>1530</v>
      </c>
      <c r="D14" s="49">
        <f>1050+26</f>
        <v>1076</v>
      </c>
      <c r="E14" s="49">
        <f t="shared" si="15"/>
        <v>70.3</v>
      </c>
      <c r="F14" s="49">
        <f t="shared" si="16"/>
        <v>430.40000000000003</v>
      </c>
      <c r="G14" s="49">
        <v>270</v>
      </c>
      <c r="H14" s="73">
        <v>6</v>
      </c>
      <c r="I14" s="76" t="s">
        <v>48</v>
      </c>
      <c r="J14" s="79"/>
      <c r="K14" s="55"/>
      <c r="L14" s="48" t="s">
        <v>10</v>
      </c>
      <c r="M14" s="49"/>
      <c r="N14" s="49"/>
      <c r="O14" s="56"/>
      <c r="P14" s="49"/>
      <c r="Q14" s="49"/>
      <c r="R14" s="53"/>
      <c r="S14" s="53"/>
      <c r="T14" s="58"/>
      <c r="U14" s="65"/>
      <c r="V14" s="65"/>
      <c r="W14" s="65"/>
      <c r="X14" s="63"/>
      <c r="Y14" s="63"/>
      <c r="Z14" s="64"/>
    </row>
    <row r="15" spans="1:26" s="21" customFormat="1" ht="25.5" customHeight="1" x14ac:dyDescent="0.25">
      <c r="A15" s="49">
        <v>13</v>
      </c>
      <c r="B15" s="51" t="s">
        <v>95</v>
      </c>
      <c r="C15" s="49">
        <v>1500</v>
      </c>
      <c r="D15" s="49">
        <f>975+32</f>
        <v>1007</v>
      </c>
      <c r="E15" s="49">
        <f t="shared" si="15"/>
        <v>67.099999999999994</v>
      </c>
      <c r="F15" s="49">
        <f t="shared" si="16"/>
        <v>402.8</v>
      </c>
      <c r="G15" s="49">
        <v>270</v>
      </c>
      <c r="H15" s="73">
        <v>5</v>
      </c>
      <c r="I15" s="76" t="s">
        <v>122</v>
      </c>
      <c r="J15" s="79"/>
      <c r="K15" s="55"/>
      <c r="L15" s="48" t="s">
        <v>11</v>
      </c>
      <c r="M15" s="49"/>
      <c r="N15" s="49"/>
      <c r="O15" s="49"/>
      <c r="P15" s="49"/>
      <c r="Q15" s="49"/>
      <c r="R15" s="53"/>
      <c r="S15" s="53"/>
      <c r="T15" s="62"/>
      <c r="U15" s="63"/>
      <c r="V15" s="63"/>
      <c r="W15" s="63"/>
      <c r="X15" s="63"/>
      <c r="Y15" s="63"/>
      <c r="Z15" s="64"/>
    </row>
    <row r="16" spans="1:26" s="21" customFormat="1" ht="25.5" customHeight="1" x14ac:dyDescent="0.25">
      <c r="A16" s="49">
        <v>14</v>
      </c>
      <c r="B16" s="51" t="s">
        <v>96</v>
      </c>
      <c r="C16" s="49">
        <v>1500</v>
      </c>
      <c r="D16" s="49">
        <f>990+26</f>
        <v>1016</v>
      </c>
      <c r="E16" s="49">
        <f t="shared" si="15"/>
        <v>67.7</v>
      </c>
      <c r="F16" s="49">
        <f t="shared" si="16"/>
        <v>406.40000000000003</v>
      </c>
      <c r="G16" s="49">
        <v>270</v>
      </c>
      <c r="H16" s="73">
        <v>5</v>
      </c>
      <c r="I16" s="76" t="s">
        <v>50</v>
      </c>
      <c r="J16" s="79"/>
      <c r="K16" s="55"/>
      <c r="L16" s="48" t="s">
        <v>12</v>
      </c>
      <c r="M16" s="49">
        <f>675+16+165+12</f>
        <v>868</v>
      </c>
      <c r="N16" s="49">
        <f>390+1065</f>
        <v>1455</v>
      </c>
      <c r="O16" s="57">
        <f t="shared" si="12"/>
        <v>59.7</v>
      </c>
      <c r="P16" s="49">
        <f t="shared" si="4"/>
        <v>347.20000000000005</v>
      </c>
      <c r="Q16" s="49">
        <v>270</v>
      </c>
      <c r="R16" s="53">
        <f t="shared" si="5"/>
        <v>3</v>
      </c>
      <c r="S16" s="54" t="s">
        <v>35</v>
      </c>
      <c r="T16" s="62"/>
      <c r="U16" s="60">
        <f>675+16</f>
        <v>691</v>
      </c>
      <c r="V16" s="60">
        <v>1065</v>
      </c>
      <c r="W16" s="60">
        <f t="shared" si="13"/>
        <v>64.900000000000006</v>
      </c>
      <c r="X16" s="60">
        <f t="shared" si="7"/>
        <v>276.40000000000003</v>
      </c>
      <c r="Y16" s="60">
        <v>270</v>
      </c>
      <c r="Z16" s="61">
        <f t="shared" si="8"/>
        <v>0</v>
      </c>
    </row>
    <row r="17" spans="1:26" s="21" customFormat="1" ht="25.5" customHeight="1" x14ac:dyDescent="0.25">
      <c r="A17" s="49">
        <v>15</v>
      </c>
      <c r="B17" s="51" t="s">
        <v>97</v>
      </c>
      <c r="C17" s="49">
        <v>1530</v>
      </c>
      <c r="D17" s="49">
        <f>1050+34</f>
        <v>1084</v>
      </c>
      <c r="E17" s="49">
        <f t="shared" si="15"/>
        <v>70.8</v>
      </c>
      <c r="F17" s="49">
        <f t="shared" si="16"/>
        <v>433.6</v>
      </c>
      <c r="G17" s="49">
        <v>270</v>
      </c>
      <c r="H17" s="73">
        <v>6</v>
      </c>
      <c r="I17" s="78" t="s">
        <v>117</v>
      </c>
      <c r="J17" s="79"/>
      <c r="K17" s="55"/>
      <c r="L17" s="48" t="s">
        <v>13</v>
      </c>
      <c r="M17" s="49"/>
      <c r="N17" s="49"/>
      <c r="O17" s="49"/>
      <c r="P17" s="49"/>
      <c r="Q17" s="49"/>
      <c r="R17" s="53"/>
      <c r="S17" s="53"/>
      <c r="T17" s="62"/>
      <c r="U17" s="63"/>
      <c r="V17" s="63"/>
      <c r="W17" s="63"/>
      <c r="X17" s="63"/>
      <c r="Y17" s="63"/>
      <c r="Z17" s="64"/>
    </row>
    <row r="18" spans="1:26" s="21" customFormat="1" ht="25.5" customHeight="1" x14ac:dyDescent="0.25">
      <c r="A18" s="49">
        <v>16</v>
      </c>
      <c r="B18" s="51" t="s">
        <v>98</v>
      </c>
      <c r="C18" s="49">
        <v>1515</v>
      </c>
      <c r="D18" s="49">
        <f>1020+38</f>
        <v>1058</v>
      </c>
      <c r="E18" s="49">
        <f t="shared" si="15"/>
        <v>69.8</v>
      </c>
      <c r="F18" s="49">
        <f t="shared" si="16"/>
        <v>423.20000000000005</v>
      </c>
      <c r="G18" s="49">
        <v>270</v>
      </c>
      <c r="H18" s="73">
        <v>6</v>
      </c>
      <c r="I18" s="78" t="s">
        <v>118</v>
      </c>
      <c r="J18" s="79"/>
      <c r="K18" s="55"/>
      <c r="L18" s="48" t="s">
        <v>14</v>
      </c>
      <c r="M18" s="49">
        <f>165+12+825+30</f>
        <v>1032</v>
      </c>
      <c r="N18" s="49">
        <f>1140+390</f>
        <v>1530</v>
      </c>
      <c r="O18" s="49">
        <f t="shared" si="12"/>
        <v>67.5</v>
      </c>
      <c r="P18" s="49">
        <f t="shared" si="4"/>
        <v>412.8</v>
      </c>
      <c r="Q18" s="49">
        <v>270</v>
      </c>
      <c r="R18" s="53">
        <f t="shared" si="5"/>
        <v>5</v>
      </c>
      <c r="S18" s="66" t="s">
        <v>55</v>
      </c>
      <c r="T18" s="62"/>
      <c r="U18" s="60">
        <f>825+30</f>
        <v>855</v>
      </c>
      <c r="V18" s="60">
        <v>1140</v>
      </c>
      <c r="W18" s="60">
        <f t="shared" si="13"/>
        <v>75</v>
      </c>
      <c r="X18" s="60">
        <f t="shared" si="7"/>
        <v>342</v>
      </c>
      <c r="Y18" s="60">
        <v>270</v>
      </c>
      <c r="Z18" s="61">
        <f t="shared" si="8"/>
        <v>2</v>
      </c>
    </row>
    <row r="19" spans="1:26" s="21" customFormat="1" ht="25.5" customHeight="1" x14ac:dyDescent="0.25">
      <c r="A19" s="49">
        <v>17</v>
      </c>
      <c r="B19" s="51" t="s">
        <v>99</v>
      </c>
      <c r="C19" s="49">
        <v>1515</v>
      </c>
      <c r="D19" s="49">
        <f>1020+38</f>
        <v>1058</v>
      </c>
      <c r="E19" s="49">
        <f t="shared" si="15"/>
        <v>69.8</v>
      </c>
      <c r="F19" s="49">
        <f t="shared" si="16"/>
        <v>423.20000000000005</v>
      </c>
      <c r="G19" s="49">
        <v>270</v>
      </c>
      <c r="H19" s="73">
        <v>6</v>
      </c>
      <c r="I19" s="78" t="s">
        <v>118</v>
      </c>
      <c r="J19" s="79"/>
      <c r="K19" s="55"/>
      <c r="L19" s="48" t="s">
        <v>15</v>
      </c>
      <c r="M19" s="49">
        <f>825+30+165+12</f>
        <v>1032</v>
      </c>
      <c r="N19" s="49">
        <f>390+1140</f>
        <v>1530</v>
      </c>
      <c r="O19" s="56">
        <f t="shared" si="12"/>
        <v>67.5</v>
      </c>
      <c r="P19" s="49">
        <f t="shared" si="4"/>
        <v>412.8</v>
      </c>
      <c r="Q19" s="49">
        <v>270</v>
      </c>
      <c r="R19" s="53">
        <f t="shared" si="5"/>
        <v>5</v>
      </c>
      <c r="S19" s="66" t="s">
        <v>54</v>
      </c>
      <c r="T19" s="58"/>
      <c r="U19" s="59">
        <f>825+30</f>
        <v>855</v>
      </c>
      <c r="V19" s="59">
        <v>1140</v>
      </c>
      <c r="W19" s="59">
        <f t="shared" si="13"/>
        <v>75</v>
      </c>
      <c r="X19" s="60">
        <f t="shared" si="7"/>
        <v>342</v>
      </c>
      <c r="Y19" s="60">
        <v>270</v>
      </c>
      <c r="Z19" s="61">
        <f t="shared" si="8"/>
        <v>2</v>
      </c>
    </row>
    <row r="20" spans="1:26" s="21" customFormat="1" ht="25.5" customHeight="1" x14ac:dyDescent="0.25">
      <c r="A20" s="49">
        <v>18</v>
      </c>
      <c r="B20" s="51" t="s">
        <v>100</v>
      </c>
      <c r="C20" s="49">
        <v>1545</v>
      </c>
      <c r="D20" s="49">
        <f>1080+40</f>
        <v>1120</v>
      </c>
      <c r="E20" s="49">
        <f t="shared" si="15"/>
        <v>72.5</v>
      </c>
      <c r="F20" s="49">
        <f t="shared" si="16"/>
        <v>448</v>
      </c>
      <c r="G20" s="49">
        <v>270</v>
      </c>
      <c r="H20" s="73">
        <v>6</v>
      </c>
      <c r="I20" s="78" t="s">
        <v>119</v>
      </c>
      <c r="J20" s="79"/>
      <c r="K20" s="55"/>
      <c r="L20" s="48" t="s">
        <v>16</v>
      </c>
      <c r="M20" s="49">
        <f>165+12+825+30</f>
        <v>1032</v>
      </c>
      <c r="N20" s="49">
        <f>390+1140</f>
        <v>1530</v>
      </c>
      <c r="O20" s="49">
        <f t="shared" si="12"/>
        <v>67.5</v>
      </c>
      <c r="P20" s="49">
        <f t="shared" si="4"/>
        <v>412.8</v>
      </c>
      <c r="Q20" s="49">
        <v>270</v>
      </c>
      <c r="R20" s="53">
        <f t="shared" si="5"/>
        <v>5</v>
      </c>
      <c r="S20" s="66" t="s">
        <v>59</v>
      </c>
      <c r="T20" s="62"/>
      <c r="U20" s="60">
        <f>825+30</f>
        <v>855</v>
      </c>
      <c r="V20" s="60">
        <v>1140</v>
      </c>
      <c r="W20" s="60">
        <f t="shared" si="13"/>
        <v>75</v>
      </c>
      <c r="X20" s="60">
        <f t="shared" si="7"/>
        <v>342</v>
      </c>
      <c r="Y20" s="60">
        <v>270</v>
      </c>
      <c r="Z20" s="61">
        <f t="shared" si="8"/>
        <v>2</v>
      </c>
    </row>
    <row r="21" spans="1:26" s="21" customFormat="1" ht="25.5" customHeight="1" x14ac:dyDescent="0.25">
      <c r="A21" s="49">
        <v>19</v>
      </c>
      <c r="B21" s="51" t="s">
        <v>101</v>
      </c>
      <c r="C21" s="49"/>
      <c r="D21" s="49"/>
      <c r="E21" s="49"/>
      <c r="F21" s="49"/>
      <c r="G21" s="49"/>
      <c r="H21" s="73"/>
      <c r="I21" s="77"/>
      <c r="J21" s="79"/>
      <c r="K21" s="55"/>
      <c r="L21" s="48" t="s">
        <v>24</v>
      </c>
      <c r="M21" s="49">
        <f>165+12+825+30</f>
        <v>1032</v>
      </c>
      <c r="N21" s="49">
        <f>390+1140</f>
        <v>1530</v>
      </c>
      <c r="O21" s="49">
        <f t="shared" si="12"/>
        <v>67.5</v>
      </c>
      <c r="P21" s="49">
        <f t="shared" si="4"/>
        <v>412.8</v>
      </c>
      <c r="Q21" s="49">
        <v>270</v>
      </c>
      <c r="R21" s="53">
        <f t="shared" si="5"/>
        <v>5</v>
      </c>
      <c r="S21" s="66" t="s">
        <v>53</v>
      </c>
      <c r="T21" s="62"/>
      <c r="U21" s="60">
        <f>825+30</f>
        <v>855</v>
      </c>
      <c r="V21" s="60">
        <v>1140</v>
      </c>
      <c r="W21" s="60">
        <f t="shared" si="13"/>
        <v>75</v>
      </c>
      <c r="X21" s="60">
        <f t="shared" si="7"/>
        <v>342</v>
      </c>
      <c r="Y21" s="60">
        <v>270</v>
      </c>
      <c r="Z21" s="61">
        <f t="shared" si="8"/>
        <v>2</v>
      </c>
    </row>
    <row r="22" spans="1:26" s="21" customFormat="1" ht="25.5" customHeight="1" x14ac:dyDescent="0.25">
      <c r="A22" s="49">
        <v>20</v>
      </c>
      <c r="B22" s="51" t="s">
        <v>102</v>
      </c>
      <c r="C22" s="49">
        <v>1530</v>
      </c>
      <c r="D22" s="49">
        <f>1050+34</f>
        <v>1084</v>
      </c>
      <c r="E22" s="49">
        <f>ROUND(D22*100/C22,1)</f>
        <v>70.8</v>
      </c>
      <c r="F22" s="49">
        <f>D22*0.4</f>
        <v>433.6</v>
      </c>
      <c r="G22" s="49">
        <v>270</v>
      </c>
      <c r="H22" s="73">
        <v>6</v>
      </c>
      <c r="I22" s="78" t="s">
        <v>119</v>
      </c>
      <c r="J22" s="79"/>
      <c r="K22" s="55"/>
      <c r="L22" s="48" t="s">
        <v>17</v>
      </c>
      <c r="M22" s="49">
        <f>165+12+795+22</f>
        <v>994</v>
      </c>
      <c r="N22" s="49">
        <f>1125+390</f>
        <v>1515</v>
      </c>
      <c r="O22" s="49">
        <f t="shared" si="12"/>
        <v>65.599999999999994</v>
      </c>
      <c r="P22" s="49">
        <f t="shared" si="4"/>
        <v>397.6</v>
      </c>
      <c r="Q22" s="49">
        <v>270</v>
      </c>
      <c r="R22" s="53">
        <f t="shared" si="5"/>
        <v>4</v>
      </c>
      <c r="S22" s="66" t="s">
        <v>56</v>
      </c>
      <c r="T22" s="62"/>
      <c r="U22" s="63"/>
      <c r="V22" s="63"/>
      <c r="W22" s="63"/>
      <c r="X22" s="63"/>
      <c r="Y22" s="63"/>
      <c r="Z22" s="64"/>
    </row>
    <row r="23" spans="1:26" s="21" customFormat="1" ht="25.5" customHeight="1" x14ac:dyDescent="0.25">
      <c r="A23" s="49">
        <v>21</v>
      </c>
      <c r="B23" s="51" t="s">
        <v>103</v>
      </c>
      <c r="C23" s="49">
        <v>1545</v>
      </c>
      <c r="D23" s="49">
        <f>1080+34</f>
        <v>1114</v>
      </c>
      <c r="E23" s="49">
        <f>ROUND(D23*100/C23,1)</f>
        <v>72.099999999999994</v>
      </c>
      <c r="F23" s="49">
        <f>D23*0.4</f>
        <v>445.6</v>
      </c>
      <c r="G23" s="49">
        <v>270</v>
      </c>
      <c r="H23" s="73">
        <v>6</v>
      </c>
      <c r="I23" s="78" t="s">
        <v>119</v>
      </c>
      <c r="J23" s="79"/>
      <c r="K23" s="55"/>
      <c r="L23" s="48" t="s">
        <v>18</v>
      </c>
      <c r="M23" s="49">
        <f>165+12+210+10+555+14+60+2</f>
        <v>1028</v>
      </c>
      <c r="N23" s="49">
        <f>390+315+735+90</f>
        <v>1530</v>
      </c>
      <c r="O23" s="49">
        <f t="shared" si="12"/>
        <v>67.2</v>
      </c>
      <c r="P23" s="49">
        <f t="shared" si="4"/>
        <v>411.20000000000005</v>
      </c>
      <c r="Q23" s="49">
        <v>270</v>
      </c>
      <c r="R23" s="53">
        <f t="shared" si="5"/>
        <v>5</v>
      </c>
      <c r="S23" s="66" t="s">
        <v>58</v>
      </c>
      <c r="T23" s="62"/>
      <c r="U23" s="63"/>
      <c r="V23" s="63"/>
      <c r="W23" s="63"/>
      <c r="X23" s="63"/>
      <c r="Y23" s="63"/>
      <c r="Z23" s="64"/>
    </row>
    <row r="24" spans="1:26" s="21" customFormat="1" ht="25.5" customHeight="1" x14ac:dyDescent="0.25">
      <c r="A24" s="49">
        <v>22</v>
      </c>
      <c r="B24" s="51" t="s">
        <v>104</v>
      </c>
      <c r="C24" s="49"/>
      <c r="D24" s="49"/>
      <c r="E24" s="49"/>
      <c r="F24" s="49"/>
      <c r="G24" s="49"/>
      <c r="H24" s="73"/>
      <c r="I24" s="77"/>
      <c r="J24" s="79"/>
      <c r="K24" s="55"/>
      <c r="L24" s="48" t="s">
        <v>25</v>
      </c>
      <c r="M24" s="49">
        <f>165+12+795+24</f>
        <v>996</v>
      </c>
      <c r="N24" s="49">
        <f>390+1125</f>
        <v>1515</v>
      </c>
      <c r="O24" s="49">
        <f t="shared" si="12"/>
        <v>65.7</v>
      </c>
      <c r="P24" s="49">
        <f t="shared" si="4"/>
        <v>398.40000000000003</v>
      </c>
      <c r="Q24" s="49">
        <v>270</v>
      </c>
      <c r="R24" s="53">
        <f t="shared" si="5"/>
        <v>4</v>
      </c>
      <c r="S24" s="66" t="s">
        <v>57</v>
      </c>
      <c r="T24" s="62"/>
      <c r="U24" s="63"/>
      <c r="V24" s="63"/>
      <c r="W24" s="63"/>
      <c r="X24" s="63"/>
      <c r="Y24" s="63"/>
      <c r="Z24" s="64"/>
    </row>
    <row r="25" spans="1:26" s="21" customFormat="1" ht="25.5" customHeight="1" x14ac:dyDescent="0.25">
      <c r="A25" s="49">
        <v>23</v>
      </c>
      <c r="B25" s="51" t="s">
        <v>105</v>
      </c>
      <c r="C25" s="56">
        <v>1380</v>
      </c>
      <c r="D25" s="56">
        <f>780+28</f>
        <v>808</v>
      </c>
      <c r="E25" s="52">
        <f>ROUND(D25*100/C25,1)</f>
        <v>58.6</v>
      </c>
      <c r="F25" s="49">
        <f>D25*0.4</f>
        <v>323.20000000000005</v>
      </c>
      <c r="G25" s="49">
        <v>270</v>
      </c>
      <c r="H25" s="73">
        <v>2</v>
      </c>
      <c r="I25" s="76" t="s">
        <v>124</v>
      </c>
      <c r="J25" s="79"/>
      <c r="K25" s="55"/>
      <c r="L25" s="48" t="s">
        <v>19</v>
      </c>
      <c r="M25" s="49">
        <f>165+12+630+22</f>
        <v>829</v>
      </c>
      <c r="N25" s="49">
        <f>390+1050</f>
        <v>1440</v>
      </c>
      <c r="O25" s="57">
        <f t="shared" si="12"/>
        <v>57.6</v>
      </c>
      <c r="P25" s="49">
        <f t="shared" si="4"/>
        <v>331.6</v>
      </c>
      <c r="Q25" s="49">
        <v>270</v>
      </c>
      <c r="R25" s="53">
        <f t="shared" si="5"/>
        <v>2</v>
      </c>
      <c r="S25" s="54" t="s">
        <v>61</v>
      </c>
      <c r="T25" s="62"/>
      <c r="U25" s="60">
        <f>630+22</f>
        <v>652</v>
      </c>
      <c r="V25" s="60">
        <v>1050</v>
      </c>
      <c r="W25" s="60">
        <f t="shared" si="13"/>
        <v>62.1</v>
      </c>
      <c r="X25" s="60">
        <f t="shared" si="7"/>
        <v>260.8</v>
      </c>
      <c r="Y25" s="60">
        <v>270</v>
      </c>
      <c r="Z25" s="61">
        <f t="shared" si="8"/>
        <v>0</v>
      </c>
    </row>
    <row r="26" spans="1:26" s="21" customFormat="1" ht="25.5" customHeight="1" x14ac:dyDescent="0.25">
      <c r="A26" s="49">
        <v>24</v>
      </c>
      <c r="B26" s="51" t="s">
        <v>106</v>
      </c>
      <c r="C26" s="49">
        <v>1395</v>
      </c>
      <c r="D26" s="49">
        <f>810+34</f>
        <v>844</v>
      </c>
      <c r="E26" s="49">
        <f>ROUND(D26*100/C26,1)</f>
        <v>60.5</v>
      </c>
      <c r="F26" s="49">
        <f>D26*0.4</f>
        <v>337.6</v>
      </c>
      <c r="G26" s="49">
        <v>270</v>
      </c>
      <c r="H26" s="73">
        <v>3</v>
      </c>
      <c r="I26" s="84" t="s">
        <v>51</v>
      </c>
      <c r="J26" s="79"/>
      <c r="K26" s="55"/>
      <c r="L26" s="48" t="s">
        <v>20</v>
      </c>
      <c r="M26" s="49">
        <f>720+20+165+12</f>
        <v>917</v>
      </c>
      <c r="N26" s="49">
        <f>390+1080</f>
        <v>1470</v>
      </c>
      <c r="O26" s="56">
        <f t="shared" si="12"/>
        <v>62.4</v>
      </c>
      <c r="P26" s="49">
        <f t="shared" si="4"/>
        <v>366.8</v>
      </c>
      <c r="Q26" s="49">
        <v>270</v>
      </c>
      <c r="R26" s="53">
        <f t="shared" si="5"/>
        <v>3</v>
      </c>
      <c r="S26" s="54" t="s">
        <v>45</v>
      </c>
      <c r="T26" s="58"/>
      <c r="U26" s="65"/>
      <c r="V26" s="65"/>
      <c r="W26" s="65"/>
      <c r="X26" s="63"/>
      <c r="Y26" s="63"/>
      <c r="Z26" s="64"/>
    </row>
    <row r="27" spans="1:26" s="21" customFormat="1" ht="25.5" customHeight="1" x14ac:dyDescent="0.25">
      <c r="A27" s="49">
        <v>25</v>
      </c>
      <c r="B27" s="51" t="s">
        <v>107</v>
      </c>
      <c r="C27" s="49"/>
      <c r="D27" s="49"/>
      <c r="E27" s="49"/>
      <c r="F27" s="49"/>
      <c r="G27" s="49"/>
      <c r="H27" s="73"/>
      <c r="I27" s="77"/>
      <c r="J27" s="79"/>
      <c r="K27" s="55"/>
      <c r="L27" s="48" t="s">
        <v>32</v>
      </c>
      <c r="M27" s="49">
        <f>645+24+165+12</f>
        <v>846</v>
      </c>
      <c r="N27" s="49">
        <f>390+1050</f>
        <v>1440</v>
      </c>
      <c r="O27" s="57">
        <f t="shared" si="12"/>
        <v>58.8</v>
      </c>
      <c r="P27" s="49">
        <f t="shared" si="4"/>
        <v>338.40000000000003</v>
      </c>
      <c r="Q27" s="49">
        <v>270</v>
      </c>
      <c r="R27" s="53">
        <f t="shared" si="5"/>
        <v>2</v>
      </c>
      <c r="S27" s="54" t="s">
        <v>60</v>
      </c>
      <c r="T27" s="58"/>
      <c r="U27" s="59">
        <f>645+24</f>
        <v>669</v>
      </c>
      <c r="V27" s="59">
        <v>1050</v>
      </c>
      <c r="W27" s="59">
        <f t="shared" ref="W27" si="17">ROUND(U27*100/V27,1)</f>
        <v>63.7</v>
      </c>
      <c r="X27" s="60">
        <f t="shared" si="7"/>
        <v>267.60000000000002</v>
      </c>
      <c r="Y27" s="60">
        <v>270</v>
      </c>
      <c r="Z27" s="61">
        <f t="shared" si="8"/>
        <v>0</v>
      </c>
    </row>
    <row r="28" spans="1:26" s="21" customFormat="1" ht="25.5" customHeight="1" x14ac:dyDescent="0.25">
      <c r="A28" s="49">
        <v>26</v>
      </c>
      <c r="B28" s="51" t="s">
        <v>108</v>
      </c>
      <c r="C28" s="49">
        <v>1455</v>
      </c>
      <c r="D28" s="49">
        <f>840+36</f>
        <v>876</v>
      </c>
      <c r="E28" s="49">
        <f>ROUND(D28*100/C28,1)</f>
        <v>60.2</v>
      </c>
      <c r="F28" s="49">
        <f>D28*0.4</f>
        <v>350.40000000000003</v>
      </c>
      <c r="G28" s="49">
        <v>270</v>
      </c>
      <c r="H28" s="73">
        <v>3</v>
      </c>
      <c r="I28" s="76" t="s">
        <v>35</v>
      </c>
      <c r="J28" s="79"/>
      <c r="K28" s="55"/>
      <c r="L28" s="48" t="s">
        <v>21</v>
      </c>
      <c r="M28" s="49">
        <f>165+12+615+22</f>
        <v>814</v>
      </c>
      <c r="N28" s="49">
        <f>1035+390</f>
        <v>1425</v>
      </c>
      <c r="O28" s="57">
        <f t="shared" si="12"/>
        <v>57.1</v>
      </c>
      <c r="P28" s="49">
        <f t="shared" si="4"/>
        <v>325.60000000000002</v>
      </c>
      <c r="Q28" s="49">
        <v>270</v>
      </c>
      <c r="R28" s="53">
        <f t="shared" si="5"/>
        <v>2</v>
      </c>
      <c r="S28" s="54" t="s">
        <v>62</v>
      </c>
      <c r="T28" s="62"/>
      <c r="U28" s="60">
        <f>615+22</f>
        <v>637</v>
      </c>
      <c r="V28" s="60">
        <v>1035</v>
      </c>
      <c r="W28" s="60">
        <f t="shared" si="13"/>
        <v>61.5</v>
      </c>
      <c r="X28" s="60">
        <f t="shared" si="7"/>
        <v>254.8</v>
      </c>
      <c r="Y28" s="60">
        <v>270</v>
      </c>
      <c r="Z28" s="61">
        <f t="shared" si="8"/>
        <v>-1</v>
      </c>
    </row>
    <row r="29" spans="1:26" s="21" customFormat="1" ht="25.5" customHeight="1" x14ac:dyDescent="0.25">
      <c r="A29" s="49">
        <v>27</v>
      </c>
      <c r="B29" s="51" t="s">
        <v>109</v>
      </c>
      <c r="C29" s="49">
        <v>1530</v>
      </c>
      <c r="D29" s="49">
        <f>1050+36</f>
        <v>1086</v>
      </c>
      <c r="E29" s="49">
        <f>ROUND(D29*100/C29,1)</f>
        <v>71</v>
      </c>
      <c r="F29" s="49">
        <f>D29*0.4</f>
        <v>434.40000000000003</v>
      </c>
      <c r="G29" s="49">
        <v>270</v>
      </c>
      <c r="H29" s="73">
        <v>6</v>
      </c>
      <c r="I29" s="76" t="s">
        <v>123</v>
      </c>
      <c r="J29" s="79"/>
      <c r="K29" s="55"/>
      <c r="L29" s="48" t="s">
        <v>22</v>
      </c>
      <c r="M29" s="49">
        <f>165+12+825+20</f>
        <v>1022</v>
      </c>
      <c r="N29" s="49">
        <f>1140+390</f>
        <v>1530</v>
      </c>
      <c r="O29" s="49">
        <f t="shared" si="12"/>
        <v>66.8</v>
      </c>
      <c r="P29" s="49">
        <f t="shared" si="4"/>
        <v>408.8</v>
      </c>
      <c r="Q29" s="49">
        <v>270</v>
      </c>
      <c r="R29" s="53">
        <f t="shared" si="5"/>
        <v>5</v>
      </c>
      <c r="S29" s="54" t="s">
        <v>47</v>
      </c>
      <c r="T29" s="62"/>
      <c r="U29" s="60">
        <f>825+20</f>
        <v>845</v>
      </c>
      <c r="V29" s="60">
        <v>1140</v>
      </c>
      <c r="W29" s="60">
        <f t="shared" si="13"/>
        <v>74.099999999999994</v>
      </c>
      <c r="X29" s="60">
        <f t="shared" si="7"/>
        <v>338</v>
      </c>
      <c r="Y29" s="60">
        <v>270</v>
      </c>
      <c r="Z29" s="61">
        <f t="shared" si="8"/>
        <v>2</v>
      </c>
    </row>
    <row r="30" spans="1:26" s="21" customFormat="1" ht="25.5" customHeight="1" x14ac:dyDescent="0.25">
      <c r="A30" s="141" t="s">
        <v>65</v>
      </c>
      <c r="B30" s="141"/>
      <c r="C30" s="68" t="s">
        <v>163</v>
      </c>
      <c r="D30" s="48"/>
      <c r="E30" s="48"/>
      <c r="F30" s="49"/>
      <c r="G30" s="49"/>
      <c r="H30" s="56">
        <f>COUNT(H3:H29)</f>
        <v>23</v>
      </c>
      <c r="I30" s="49"/>
      <c r="J30" s="55"/>
      <c r="K30" s="55"/>
      <c r="L30" s="67" t="s">
        <v>66</v>
      </c>
      <c r="M30" s="68" t="s">
        <v>73</v>
      </c>
      <c r="N30" s="49"/>
      <c r="O30" s="49"/>
      <c r="P30" s="49"/>
      <c r="Q30" s="49"/>
      <c r="R30" s="53"/>
      <c r="S30" s="53"/>
      <c r="T30" s="62"/>
      <c r="U30" s="69" t="s">
        <v>66</v>
      </c>
      <c r="V30" s="70"/>
      <c r="W30" s="71" t="s">
        <v>68</v>
      </c>
      <c r="X30" s="63"/>
      <c r="Y30" s="63"/>
      <c r="Z30" s="64"/>
    </row>
    <row r="31" spans="1:26" s="4" customFormat="1" ht="18.75" hidden="1" customHeight="1" x14ac:dyDescent="0.25">
      <c r="A31" s="26"/>
      <c r="B31" s="26"/>
      <c r="C31" s="7"/>
      <c r="D31" s="7"/>
      <c r="E31" s="7"/>
      <c r="F31" s="7"/>
      <c r="G31" s="7"/>
      <c r="H31" s="7"/>
      <c r="I31" s="7"/>
      <c r="J31" s="12"/>
      <c r="K31" s="12"/>
      <c r="L31" s="9"/>
      <c r="M31" s="24"/>
      <c r="N31" s="24"/>
      <c r="O31" s="24"/>
      <c r="P31" s="24"/>
      <c r="Q31" s="24"/>
      <c r="R31" s="25"/>
      <c r="S31" s="25"/>
      <c r="T31" s="5"/>
      <c r="U31" s="34"/>
      <c r="V31" s="34"/>
      <c r="W31" s="34"/>
      <c r="X31" s="34"/>
      <c r="Y31" s="34"/>
      <c r="Z31" s="35"/>
    </row>
    <row r="32" spans="1:26" s="4" customFormat="1" ht="18.75" hidden="1" customHeight="1" x14ac:dyDescent="0.25">
      <c r="A32" s="26"/>
      <c r="B32" s="26"/>
      <c r="C32" s="7"/>
      <c r="D32" s="7"/>
      <c r="E32" s="7"/>
      <c r="F32" s="7"/>
      <c r="G32" s="7"/>
      <c r="H32" s="7"/>
      <c r="I32" s="7"/>
      <c r="J32" s="12"/>
      <c r="K32" s="11"/>
      <c r="L32" s="26" t="s">
        <v>69</v>
      </c>
      <c r="M32" s="7">
        <f>795+26</f>
        <v>821</v>
      </c>
      <c r="N32" s="7">
        <v>1275</v>
      </c>
      <c r="O32" s="8">
        <f t="shared" ref="O32:O34" si="18">ROUND(M32*100/N32,1)</f>
        <v>64.400000000000006</v>
      </c>
      <c r="P32" s="7">
        <f t="shared" si="4"/>
        <v>328.40000000000003</v>
      </c>
      <c r="Q32" s="7">
        <v>270</v>
      </c>
      <c r="R32" s="6">
        <f t="shared" si="5"/>
        <v>2</v>
      </c>
      <c r="S32" s="6"/>
      <c r="T32" s="16"/>
      <c r="U32" s="36"/>
      <c r="V32" s="36"/>
      <c r="W32" s="36"/>
      <c r="X32" s="34"/>
      <c r="Y32" s="34"/>
      <c r="Z32" s="35"/>
    </row>
    <row r="33" spans="1:26" s="4" customFormat="1" ht="18.75" hidden="1" customHeight="1" x14ac:dyDescent="0.25">
      <c r="A33" s="26"/>
      <c r="B33" s="80" t="s">
        <v>76</v>
      </c>
      <c r="C33" s="7"/>
      <c r="D33" s="7"/>
      <c r="E33" s="7"/>
      <c r="F33" s="7"/>
      <c r="G33" s="7"/>
      <c r="H33" s="7"/>
      <c r="I33" s="7"/>
      <c r="J33" s="12"/>
      <c r="K33" s="11"/>
      <c r="L33" s="26" t="s">
        <v>70</v>
      </c>
      <c r="M33" s="7">
        <f>855+28</f>
        <v>883</v>
      </c>
      <c r="N33" s="7">
        <v>1305</v>
      </c>
      <c r="O33" s="7">
        <f t="shared" si="18"/>
        <v>67.7</v>
      </c>
      <c r="P33" s="7">
        <f t="shared" si="4"/>
        <v>353.20000000000005</v>
      </c>
      <c r="Q33" s="7">
        <v>270</v>
      </c>
      <c r="R33" s="6">
        <f t="shared" si="5"/>
        <v>3</v>
      </c>
      <c r="S33" s="6"/>
      <c r="T33" s="5"/>
      <c r="U33" s="34"/>
      <c r="V33" s="34"/>
      <c r="W33" s="34"/>
      <c r="X33" s="34"/>
      <c r="Y33" s="34"/>
      <c r="Z33" s="35"/>
    </row>
    <row r="34" spans="1:26" s="4" customFormat="1" ht="18.75" hidden="1" customHeight="1" x14ac:dyDescent="0.25">
      <c r="A34" s="26"/>
      <c r="B34" s="81" t="s">
        <v>74</v>
      </c>
      <c r="C34" s="7"/>
      <c r="D34" s="7"/>
      <c r="E34" s="7"/>
      <c r="F34" s="7"/>
      <c r="G34" s="7"/>
      <c r="H34" s="7"/>
      <c r="I34" s="7"/>
      <c r="J34" s="12"/>
      <c r="K34" s="11"/>
      <c r="L34" s="26" t="s">
        <v>71</v>
      </c>
      <c r="M34" s="7">
        <f>165+12+795+16</f>
        <v>988</v>
      </c>
      <c r="N34" s="7">
        <f>390+1125</f>
        <v>1515</v>
      </c>
      <c r="O34" s="8">
        <f t="shared" si="18"/>
        <v>65.2</v>
      </c>
      <c r="P34" s="7">
        <f t="shared" si="4"/>
        <v>395.20000000000005</v>
      </c>
      <c r="Q34" s="7">
        <v>270</v>
      </c>
      <c r="R34" s="6">
        <f t="shared" si="5"/>
        <v>4</v>
      </c>
      <c r="S34" s="6"/>
      <c r="T34" s="16"/>
      <c r="U34" s="36"/>
      <c r="V34" s="36"/>
      <c r="W34" s="36"/>
      <c r="X34" s="34"/>
      <c r="Y34" s="34"/>
      <c r="Z34" s="35"/>
    </row>
    <row r="35" spans="1:26" s="4" customFormat="1" ht="18.75" hidden="1" customHeight="1" x14ac:dyDescent="0.25">
      <c r="A35" s="26"/>
      <c r="B35" s="81" t="s">
        <v>75</v>
      </c>
      <c r="C35" s="7"/>
      <c r="D35" s="7"/>
      <c r="E35" s="7"/>
      <c r="F35" s="7"/>
      <c r="G35" s="7"/>
      <c r="H35" s="7"/>
      <c r="I35" s="7"/>
      <c r="J35" s="12"/>
      <c r="K35" s="12"/>
      <c r="L35" s="15" t="s">
        <v>66</v>
      </c>
      <c r="M35" s="23" t="s">
        <v>72</v>
      </c>
      <c r="N35" s="7"/>
      <c r="O35" s="18"/>
      <c r="P35" s="7"/>
      <c r="Q35" s="7"/>
      <c r="R35" s="7"/>
      <c r="S35" s="7"/>
      <c r="T35" s="5"/>
      <c r="U35" s="43" t="s">
        <v>66</v>
      </c>
      <c r="V35" s="45"/>
      <c r="W35" s="44" t="s">
        <v>72</v>
      </c>
      <c r="X35" s="46"/>
      <c r="Y35" s="46"/>
      <c r="Z35" s="46"/>
    </row>
    <row r="36" spans="1:26" s="4" customFormat="1" ht="11.25" hidden="1" customHeight="1" x14ac:dyDescent="0.25">
      <c r="A36" s="26"/>
      <c r="B36" s="7"/>
      <c r="C36" s="7"/>
      <c r="D36" s="7"/>
      <c r="E36" s="18"/>
      <c r="F36" s="7"/>
      <c r="G36" s="7"/>
      <c r="H36" s="7"/>
      <c r="I36" s="7"/>
      <c r="J36" s="12"/>
      <c r="K36" s="12"/>
      <c r="L36" s="9"/>
      <c r="M36" s="5"/>
      <c r="N36" s="5"/>
      <c r="O36" s="5"/>
      <c r="P36" s="5"/>
      <c r="Q36" s="5"/>
      <c r="R36" s="5"/>
      <c r="S36" s="5"/>
      <c r="T36" s="5"/>
      <c r="U36" s="37"/>
      <c r="V36" s="37"/>
      <c r="W36" s="37"/>
      <c r="X36" s="37"/>
      <c r="Y36" s="37"/>
      <c r="Z36" s="37"/>
    </row>
    <row r="37" spans="1:26" s="4" customFormat="1" ht="18.75" hidden="1" customHeight="1" x14ac:dyDescent="0.25">
      <c r="A37" s="26"/>
      <c r="B37" s="80" t="s">
        <v>82</v>
      </c>
      <c r="C37" s="7"/>
      <c r="D37" s="7"/>
      <c r="E37" s="7"/>
      <c r="F37" s="7"/>
      <c r="G37" s="7"/>
      <c r="H37" s="7"/>
      <c r="I37" s="7"/>
      <c r="J37" s="12"/>
      <c r="K37" s="12"/>
      <c r="L37" s="13" t="s">
        <v>79</v>
      </c>
      <c r="M37" s="5"/>
      <c r="N37" s="5"/>
      <c r="O37" s="5"/>
      <c r="P37" s="5"/>
      <c r="Q37" s="5"/>
      <c r="R37" s="5"/>
      <c r="S37" s="5"/>
      <c r="T37" s="5"/>
      <c r="U37" s="37"/>
      <c r="V37" s="37"/>
      <c r="W37" s="37"/>
      <c r="X37" s="37"/>
      <c r="Y37" s="37"/>
      <c r="Z37" s="37"/>
    </row>
    <row r="38" spans="1:26" s="4" customFormat="1" ht="20.25" hidden="1" customHeight="1" x14ac:dyDescent="0.25">
      <c r="A38" s="26"/>
      <c r="B38" s="82" t="s">
        <v>83</v>
      </c>
      <c r="C38" s="26"/>
      <c r="D38" s="26"/>
      <c r="E38" s="82"/>
      <c r="F38" s="26"/>
      <c r="G38" s="26"/>
      <c r="H38" s="26"/>
      <c r="I38" s="7"/>
      <c r="J38" s="12"/>
      <c r="K38" s="9"/>
      <c r="L38" s="28" t="s">
        <v>77</v>
      </c>
      <c r="M38" s="14"/>
      <c r="N38" s="14"/>
      <c r="O38" s="14"/>
      <c r="P38" s="14"/>
      <c r="Q38" s="29">
        <v>0.76190000000000002</v>
      </c>
      <c r="S38" s="31" t="s">
        <v>80</v>
      </c>
      <c r="U38" s="38"/>
      <c r="V38" s="38"/>
      <c r="W38" s="38"/>
      <c r="X38" s="38"/>
      <c r="Y38" s="39">
        <v>1</v>
      </c>
      <c r="Z38" s="38"/>
    </row>
    <row r="39" spans="1:26" ht="20.25" hidden="1" customHeight="1" x14ac:dyDescent="0.25">
      <c r="L39" s="28" t="s">
        <v>78</v>
      </c>
      <c r="M39" s="14"/>
      <c r="N39" s="14"/>
      <c r="O39" s="14"/>
      <c r="P39" s="14"/>
      <c r="Q39" s="30">
        <v>0.79159999999999997</v>
      </c>
      <c r="S39" s="31" t="s">
        <v>81</v>
      </c>
      <c r="Y39" s="41">
        <v>1</v>
      </c>
    </row>
    <row r="40" spans="1:26" ht="18.75" customHeight="1" x14ac:dyDescent="0.25"/>
    <row r="41" spans="1:26" ht="18.75" customHeight="1" x14ac:dyDescent="0.25">
      <c r="L41" s="2" t="s">
        <v>167</v>
      </c>
      <c r="M41" s="2">
        <v>821</v>
      </c>
      <c r="N41" s="2">
        <v>1275</v>
      </c>
      <c r="O41" s="2">
        <f t="shared" ref="O41" si="19">ROUND(M41*100/N41,1)</f>
        <v>64.400000000000006</v>
      </c>
      <c r="P41" s="49">
        <f t="shared" ref="P41" si="20">M41*0.4</f>
        <v>328.40000000000003</v>
      </c>
      <c r="Q41" s="3">
        <v>270</v>
      </c>
      <c r="R41" s="2">
        <f t="shared" ref="R41" si="21">ROUND((P41-Q41)/30,0)</f>
        <v>2</v>
      </c>
      <c r="U41" s="40">
        <v>698</v>
      </c>
      <c r="V41" s="40">
        <v>960</v>
      </c>
      <c r="W41" s="40">
        <f t="shared" ref="W41" si="22">ROUND(U41*100/V41,1)</f>
        <v>72.7</v>
      </c>
      <c r="X41" s="40">
        <f t="shared" ref="X41" si="23">U41*0.4</f>
        <v>279.2</v>
      </c>
      <c r="Y41" s="42">
        <v>270</v>
      </c>
      <c r="Z41" s="40">
        <f t="shared" ref="Z41" si="24">ROUND((X41-Y41)/30,0)</f>
        <v>0</v>
      </c>
    </row>
    <row r="42" spans="1:26" ht="18.75" customHeight="1" x14ac:dyDescent="0.25"/>
    <row r="43" spans="1:26" ht="18.75" customHeight="1" x14ac:dyDescent="0.25"/>
    <row r="44" spans="1:26" ht="18.75" customHeight="1" x14ac:dyDescent="0.25"/>
    <row r="45" spans="1:26" ht="18.75" customHeight="1" x14ac:dyDescent="0.25"/>
    <row r="46" spans="1:26" ht="18.75" customHeight="1" x14ac:dyDescent="0.25"/>
    <row r="47" spans="1:26" ht="18.75" customHeight="1" x14ac:dyDescent="0.25"/>
    <row r="48" spans="1:26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3">
    <mergeCell ref="K1:Y1"/>
    <mergeCell ref="A30:B30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O109"/>
  <sheetViews>
    <sheetView zoomScale="115" zoomScaleNormal="115" workbookViewId="0">
      <selection activeCell="O7" sqref="O7"/>
    </sheetView>
  </sheetViews>
  <sheetFormatPr defaultRowHeight="15" x14ac:dyDescent="0.25"/>
  <cols>
    <col min="1" max="1" width="3.5703125" style="2" customWidth="1"/>
    <col min="2" max="2" width="25.85546875" style="2" customWidth="1"/>
    <col min="3" max="3" width="9.42578125" style="2" hidden="1" customWidth="1"/>
    <col min="4" max="4" width="9.28515625" style="2" hidden="1" customWidth="1"/>
    <col min="5" max="5" width="12" style="2" hidden="1" customWidth="1"/>
    <col min="6" max="6" width="11.28515625" style="2" hidden="1" customWidth="1"/>
    <col min="7" max="7" width="10.42578125" style="2" hidden="1" customWidth="1"/>
    <col min="8" max="8" width="14.85546875" style="2" hidden="1" customWidth="1"/>
    <col min="9" max="9" width="16.140625" style="3" hidden="1" customWidth="1"/>
    <col min="10" max="10" width="12.28515625" style="2" customWidth="1"/>
    <col min="11" max="11" width="11.42578125" style="2" customWidth="1"/>
    <col min="12" max="12" width="16.140625" style="2" customWidth="1"/>
    <col min="13" max="13" width="15.42578125" style="2" customWidth="1"/>
    <col min="14" max="14" width="10.5703125" style="2" hidden="1" customWidth="1"/>
    <col min="15" max="15" width="15.5703125" style="2" customWidth="1"/>
    <col min="16" max="16384" width="9.140625" style="2"/>
  </cols>
  <sheetData>
    <row r="1" spans="1:15" s="1" customFormat="1" ht="66.75" customHeight="1" x14ac:dyDescent="0.25">
      <c r="A1" s="144" t="s">
        <v>171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</row>
    <row r="2" spans="1:15" s="21" customFormat="1" ht="57.75" customHeight="1" x14ac:dyDescent="0.25">
      <c r="A2" s="105" t="s">
        <v>110</v>
      </c>
      <c r="B2" s="19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162</v>
      </c>
      <c r="I2" s="75"/>
      <c r="J2" s="19" t="s">
        <v>157</v>
      </c>
      <c r="K2" s="19" t="s">
        <v>158</v>
      </c>
      <c r="L2" s="19" t="s">
        <v>159</v>
      </c>
      <c r="M2" s="20" t="s">
        <v>160</v>
      </c>
      <c r="N2" s="20" t="s">
        <v>161</v>
      </c>
      <c r="O2" s="72" t="s">
        <v>162</v>
      </c>
    </row>
    <row r="3" spans="1:15" s="21" customFormat="1" ht="25.5" customHeight="1" x14ac:dyDescent="0.25">
      <c r="A3" s="49">
        <v>1</v>
      </c>
      <c r="B3" s="51" t="s">
        <v>86</v>
      </c>
      <c r="C3" s="56">
        <v>930</v>
      </c>
      <c r="D3" s="56">
        <v>521</v>
      </c>
      <c r="E3" s="49">
        <f t="shared" ref="E3:E5" si="0">ROUND(D3*100/C3,1)</f>
        <v>56</v>
      </c>
      <c r="F3" s="49">
        <f t="shared" ref="F3:F5" si="1">D3*0.4</f>
        <v>208.4</v>
      </c>
      <c r="G3" s="49">
        <v>270</v>
      </c>
      <c r="H3" s="73">
        <f t="shared" ref="H3:H9" si="2">ROUND((F3-G3)/30,0)</f>
        <v>-2</v>
      </c>
      <c r="I3" s="76"/>
      <c r="J3" s="56">
        <v>750</v>
      </c>
      <c r="K3" s="56">
        <v>483</v>
      </c>
      <c r="L3" s="49">
        <f t="shared" ref="L3:L7" si="3">ROUND(K3*100/J3,1)</f>
        <v>64.400000000000006</v>
      </c>
      <c r="M3" s="49">
        <f t="shared" ref="M3:M7" si="4">K3*0.4</f>
        <v>193.20000000000002</v>
      </c>
      <c r="N3" s="49"/>
      <c r="O3" s="73">
        <v>7</v>
      </c>
    </row>
    <row r="4" spans="1:15" s="21" customFormat="1" ht="25.5" customHeight="1" x14ac:dyDescent="0.25">
      <c r="A4" s="49">
        <v>2</v>
      </c>
      <c r="B4" s="51" t="s">
        <v>89</v>
      </c>
      <c r="C4" s="49">
        <v>915</v>
      </c>
      <c r="D4" s="49">
        <v>491</v>
      </c>
      <c r="E4" s="49">
        <f t="shared" si="0"/>
        <v>53.7</v>
      </c>
      <c r="F4" s="49">
        <f t="shared" si="1"/>
        <v>196.4</v>
      </c>
      <c r="G4" s="49">
        <v>270</v>
      </c>
      <c r="H4" s="73">
        <f t="shared" si="2"/>
        <v>-2</v>
      </c>
      <c r="I4" s="76"/>
      <c r="J4" s="49">
        <v>735</v>
      </c>
      <c r="K4" s="49">
        <v>453</v>
      </c>
      <c r="L4" s="49">
        <f t="shared" si="3"/>
        <v>61.6</v>
      </c>
      <c r="M4" s="49">
        <f t="shared" si="4"/>
        <v>181.20000000000002</v>
      </c>
      <c r="N4" s="49"/>
      <c r="O4" s="73">
        <v>7</v>
      </c>
    </row>
    <row r="5" spans="1:15" s="21" customFormat="1" ht="25.5" customHeight="1" x14ac:dyDescent="0.25">
      <c r="A5" s="49">
        <v>3</v>
      </c>
      <c r="B5" s="51" t="s">
        <v>116</v>
      </c>
      <c r="C5" s="49">
        <v>930</v>
      </c>
      <c r="D5" s="49">
        <v>506</v>
      </c>
      <c r="E5" s="49">
        <f t="shared" si="0"/>
        <v>54.4</v>
      </c>
      <c r="F5" s="49">
        <f t="shared" si="1"/>
        <v>202.4</v>
      </c>
      <c r="G5" s="49">
        <v>270</v>
      </c>
      <c r="H5" s="73">
        <f t="shared" si="2"/>
        <v>-2</v>
      </c>
      <c r="I5" s="76"/>
      <c r="J5" s="49">
        <v>750</v>
      </c>
      <c r="K5" s="49">
        <v>468</v>
      </c>
      <c r="L5" s="49">
        <f t="shared" si="3"/>
        <v>62.4</v>
      </c>
      <c r="M5" s="49">
        <f t="shared" si="4"/>
        <v>187.20000000000002</v>
      </c>
      <c r="N5" s="49"/>
      <c r="O5" s="73">
        <v>7</v>
      </c>
    </row>
    <row r="6" spans="1:15" s="21" customFormat="1" ht="25.5" customHeight="1" x14ac:dyDescent="0.25">
      <c r="A6" s="49">
        <v>4</v>
      </c>
      <c r="B6" s="51" t="s">
        <v>96</v>
      </c>
      <c r="C6" s="49">
        <v>915</v>
      </c>
      <c r="D6" s="49">
        <v>491</v>
      </c>
      <c r="E6" s="49">
        <f t="shared" ref="E6:E7" si="5">ROUND(D6*100/C6,1)</f>
        <v>53.7</v>
      </c>
      <c r="F6" s="49">
        <f t="shared" ref="F6:F7" si="6">D6*0.4</f>
        <v>196.4</v>
      </c>
      <c r="G6" s="49">
        <v>270</v>
      </c>
      <c r="H6" s="73">
        <f t="shared" si="2"/>
        <v>-2</v>
      </c>
      <c r="I6" s="76"/>
      <c r="J6" s="49">
        <v>735</v>
      </c>
      <c r="K6" s="49">
        <v>453</v>
      </c>
      <c r="L6" s="49">
        <f t="shared" si="3"/>
        <v>61.6</v>
      </c>
      <c r="M6" s="49">
        <f t="shared" si="4"/>
        <v>181.20000000000002</v>
      </c>
      <c r="N6" s="49"/>
      <c r="O6" s="73">
        <v>7</v>
      </c>
    </row>
    <row r="7" spans="1:15" s="21" customFormat="1" ht="25.5" customHeight="1" x14ac:dyDescent="0.25">
      <c r="A7" s="49">
        <v>5</v>
      </c>
      <c r="B7" s="51" t="s">
        <v>98</v>
      </c>
      <c r="C7" s="49">
        <v>1035</v>
      </c>
      <c r="D7" s="49">
        <v>737</v>
      </c>
      <c r="E7" s="49">
        <f t="shared" si="5"/>
        <v>71.2</v>
      </c>
      <c r="F7" s="49">
        <f t="shared" si="6"/>
        <v>294.8</v>
      </c>
      <c r="G7" s="49">
        <v>270</v>
      </c>
      <c r="H7" s="73">
        <f t="shared" si="2"/>
        <v>1</v>
      </c>
      <c r="I7" s="78"/>
      <c r="J7" s="49">
        <v>855</v>
      </c>
      <c r="K7" s="49">
        <v>699</v>
      </c>
      <c r="L7" s="49">
        <f t="shared" si="3"/>
        <v>81.8</v>
      </c>
      <c r="M7" s="49">
        <f t="shared" si="4"/>
        <v>279.60000000000002</v>
      </c>
      <c r="N7" s="49"/>
      <c r="O7" s="73">
        <v>10</v>
      </c>
    </row>
    <row r="8" spans="1:15" s="21" customFormat="1" ht="25.5" customHeight="1" x14ac:dyDescent="0.25">
      <c r="A8" s="49">
        <v>6</v>
      </c>
      <c r="B8" s="51" t="s">
        <v>105</v>
      </c>
      <c r="C8" s="56">
        <v>915</v>
      </c>
      <c r="D8" s="56">
        <v>487</v>
      </c>
      <c r="E8" s="52">
        <f>ROUND(D8*100/C8,1)</f>
        <v>53.2</v>
      </c>
      <c r="F8" s="49">
        <f>D8*0.4</f>
        <v>194.8</v>
      </c>
      <c r="G8" s="49">
        <v>270</v>
      </c>
      <c r="H8" s="73">
        <f t="shared" si="2"/>
        <v>-3</v>
      </c>
      <c r="I8" s="76"/>
      <c r="J8" s="56">
        <v>735</v>
      </c>
      <c r="K8" s="56">
        <v>449</v>
      </c>
      <c r="L8" s="56">
        <f>ROUND(K8*100/J8,1)</f>
        <v>61.1</v>
      </c>
      <c r="M8" s="49">
        <f>K8*0.4</f>
        <v>179.60000000000002</v>
      </c>
      <c r="N8" s="49"/>
      <c r="O8" s="73">
        <v>6</v>
      </c>
    </row>
    <row r="9" spans="1:15" s="21" customFormat="1" ht="25.5" customHeight="1" x14ac:dyDescent="0.25">
      <c r="A9" s="49">
        <v>7</v>
      </c>
      <c r="B9" s="51" t="s">
        <v>109</v>
      </c>
      <c r="C9" s="49">
        <v>975</v>
      </c>
      <c r="D9" s="49">
        <v>611</v>
      </c>
      <c r="E9" s="49">
        <f>ROUND(D9*100/C9,1)</f>
        <v>62.7</v>
      </c>
      <c r="F9" s="49">
        <f>D9*0.4</f>
        <v>244.4</v>
      </c>
      <c r="G9" s="49">
        <v>270</v>
      </c>
      <c r="H9" s="73">
        <f t="shared" si="2"/>
        <v>-1</v>
      </c>
      <c r="I9" s="76"/>
      <c r="J9" s="49">
        <v>795</v>
      </c>
      <c r="K9" s="49">
        <v>573</v>
      </c>
      <c r="L9" s="49">
        <f>ROUND(K9*100/J9,1)</f>
        <v>72.099999999999994</v>
      </c>
      <c r="M9" s="49">
        <f>K9*0.4</f>
        <v>229.20000000000002</v>
      </c>
      <c r="N9" s="49"/>
      <c r="O9" s="73">
        <v>8</v>
      </c>
    </row>
    <row r="10" spans="1:15" s="21" customFormat="1" ht="25.5" customHeight="1" x14ac:dyDescent="0.25">
      <c r="A10" s="141" t="s">
        <v>65</v>
      </c>
      <c r="B10" s="141"/>
      <c r="C10" s="68" t="s">
        <v>163</v>
      </c>
      <c r="D10" s="48"/>
      <c r="E10" s="48"/>
      <c r="F10" s="49"/>
      <c r="G10" s="49"/>
      <c r="H10" s="56">
        <f>COUNT(H3:H9)</f>
        <v>7</v>
      </c>
      <c r="I10" s="49"/>
      <c r="J10" s="68" t="s">
        <v>172</v>
      </c>
      <c r="K10" s="48"/>
      <c r="L10" s="48"/>
      <c r="M10" s="49"/>
      <c r="N10" s="49"/>
      <c r="O10" s="56"/>
    </row>
    <row r="11" spans="1:15" s="4" customFormat="1" ht="18.75" hidden="1" customHeight="1" x14ac:dyDescent="0.25">
      <c r="A11" s="26"/>
      <c r="B11" s="26"/>
      <c r="C11" s="7"/>
      <c r="D11" s="7"/>
      <c r="E11" s="7"/>
      <c r="F11" s="7"/>
      <c r="G11" s="7"/>
      <c r="H11" s="7"/>
      <c r="I11" s="7"/>
    </row>
    <row r="12" spans="1:15" s="4" customFormat="1" ht="18.75" hidden="1" customHeight="1" x14ac:dyDescent="0.25">
      <c r="A12" s="26"/>
      <c r="B12" s="26"/>
      <c r="C12" s="7"/>
      <c r="D12" s="7"/>
      <c r="E12" s="7"/>
      <c r="F12" s="7"/>
      <c r="G12" s="7"/>
      <c r="H12" s="7"/>
      <c r="I12" s="7"/>
    </row>
    <row r="13" spans="1:15" s="4" customFormat="1" ht="18.75" hidden="1" customHeight="1" x14ac:dyDescent="0.25">
      <c r="A13" s="26"/>
      <c r="B13" s="80" t="s">
        <v>76</v>
      </c>
      <c r="C13" s="7"/>
      <c r="D13" s="7"/>
      <c r="E13" s="7"/>
      <c r="F13" s="7"/>
      <c r="G13" s="7"/>
      <c r="H13" s="7"/>
      <c r="I13" s="7"/>
    </row>
    <row r="14" spans="1:15" s="4" customFormat="1" ht="18.75" hidden="1" customHeight="1" x14ac:dyDescent="0.25">
      <c r="A14" s="26"/>
      <c r="B14" s="81" t="s">
        <v>74</v>
      </c>
      <c r="C14" s="7"/>
      <c r="D14" s="7"/>
      <c r="E14" s="7"/>
      <c r="F14" s="7"/>
      <c r="G14" s="7"/>
      <c r="H14" s="7"/>
      <c r="I14" s="7"/>
    </row>
    <row r="15" spans="1:15" s="4" customFormat="1" ht="18.75" hidden="1" customHeight="1" x14ac:dyDescent="0.25">
      <c r="A15" s="26"/>
      <c r="B15" s="81" t="s">
        <v>75</v>
      </c>
      <c r="C15" s="7"/>
      <c r="D15" s="7"/>
      <c r="E15" s="7"/>
      <c r="F15" s="7"/>
      <c r="G15" s="7"/>
      <c r="H15" s="7"/>
      <c r="I15" s="7"/>
    </row>
    <row r="16" spans="1:15" s="4" customFormat="1" ht="11.25" hidden="1" customHeight="1" x14ac:dyDescent="0.25">
      <c r="A16" s="26"/>
      <c r="B16" s="7"/>
      <c r="C16" s="7"/>
      <c r="D16" s="7"/>
      <c r="E16" s="18"/>
      <c r="F16" s="7"/>
      <c r="G16" s="7"/>
      <c r="H16" s="7"/>
      <c r="I16" s="7"/>
    </row>
    <row r="17" spans="1:9" s="4" customFormat="1" ht="18.75" hidden="1" customHeight="1" x14ac:dyDescent="0.25">
      <c r="A17" s="26"/>
      <c r="B17" s="80" t="s">
        <v>82</v>
      </c>
      <c r="C17" s="7"/>
      <c r="D17" s="7"/>
      <c r="E17" s="7"/>
      <c r="F17" s="7"/>
      <c r="G17" s="7"/>
      <c r="H17" s="7"/>
      <c r="I17" s="7"/>
    </row>
    <row r="18" spans="1:9" s="4" customFormat="1" ht="20.25" hidden="1" customHeight="1" x14ac:dyDescent="0.25">
      <c r="A18" s="26"/>
      <c r="B18" s="82" t="s">
        <v>83</v>
      </c>
      <c r="C18" s="26"/>
      <c r="D18" s="26"/>
      <c r="E18" s="82"/>
      <c r="F18" s="26"/>
      <c r="G18" s="26"/>
      <c r="H18" s="26"/>
      <c r="I18" s="7"/>
    </row>
    <row r="19" spans="1:9" ht="20.25" hidden="1" customHeight="1" x14ac:dyDescent="0.25"/>
    <row r="20" spans="1:9" ht="18.75" customHeight="1" x14ac:dyDescent="0.25"/>
    <row r="21" spans="1:9" ht="18.75" customHeight="1" x14ac:dyDescent="0.25"/>
    <row r="22" spans="1:9" ht="18.75" customHeight="1" x14ac:dyDescent="0.25"/>
    <row r="23" spans="1:9" ht="18.75" customHeight="1" x14ac:dyDescent="0.25"/>
    <row r="24" spans="1:9" ht="18.75" customHeight="1" x14ac:dyDescent="0.25"/>
    <row r="25" spans="1:9" ht="18.75" customHeight="1" x14ac:dyDescent="0.25"/>
    <row r="26" spans="1:9" ht="18.75" customHeight="1" x14ac:dyDescent="0.25"/>
    <row r="27" spans="1:9" ht="18.75" customHeight="1" x14ac:dyDescent="0.25"/>
    <row r="28" spans="1:9" ht="18.75" customHeight="1" x14ac:dyDescent="0.25"/>
    <row r="29" spans="1:9" ht="18.75" customHeight="1" x14ac:dyDescent="0.25"/>
    <row r="30" spans="1:9" ht="18.75" customHeight="1" x14ac:dyDescent="0.25"/>
    <row r="31" spans="1:9" ht="18.75" customHeight="1" x14ac:dyDescent="0.25"/>
    <row r="32" spans="1:9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0:B10"/>
    <mergeCell ref="A1:O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9"/>
  <sheetViews>
    <sheetView topLeftCell="A2" zoomScale="115" zoomScaleNormal="115" workbookViewId="0">
      <selection activeCell="O3" sqref="O3:O9"/>
    </sheetView>
  </sheetViews>
  <sheetFormatPr defaultRowHeight="15" x14ac:dyDescent="0.25"/>
  <cols>
    <col min="1" max="1" width="3.5703125" style="2" customWidth="1"/>
    <col min="2" max="2" width="22.5703125" style="2" customWidth="1"/>
    <col min="3" max="3" width="9.42578125" style="2" customWidth="1"/>
    <col min="4" max="4" width="9.28515625" style="2" customWidth="1"/>
    <col min="5" max="5" width="12" style="2" customWidth="1"/>
    <col min="6" max="6" width="11.28515625" style="2" customWidth="1"/>
    <col min="7" max="7" width="11.5703125" style="2" customWidth="1"/>
    <col min="8" max="8" width="2.7109375" style="3" customWidth="1"/>
    <col min="9" max="9" width="9.140625" style="2"/>
    <col min="10" max="10" width="0" style="2" hidden="1" customWidth="1"/>
    <col min="11" max="11" width="9.140625" style="2"/>
    <col min="12" max="12" width="11.7109375" style="2" customWidth="1"/>
    <col min="13" max="13" width="11" style="2" customWidth="1"/>
    <col min="14" max="14" width="10.5703125" style="2" customWidth="1"/>
    <col min="15" max="16384" width="9.140625" style="2"/>
  </cols>
  <sheetData>
    <row r="1" spans="1:15" s="1" customFormat="1" ht="66.75" customHeight="1" x14ac:dyDescent="0.25">
      <c r="A1" s="142" t="s">
        <v>171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5" s="21" customFormat="1" ht="101.25" customHeight="1" x14ac:dyDescent="0.25">
      <c r="A2" s="108" t="s">
        <v>110</v>
      </c>
      <c r="B2" s="19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111" t="s">
        <v>178</v>
      </c>
      <c r="H2" s="133"/>
      <c r="I2" s="123" t="s">
        <v>157</v>
      </c>
      <c r="J2" s="19" t="s">
        <v>158</v>
      </c>
      <c r="K2" s="19" t="s">
        <v>158</v>
      </c>
      <c r="L2" s="19" t="s">
        <v>159</v>
      </c>
      <c r="M2" s="19" t="s">
        <v>160</v>
      </c>
      <c r="N2" s="111" t="s">
        <v>178</v>
      </c>
      <c r="O2" s="114" t="s">
        <v>177</v>
      </c>
    </row>
    <row r="3" spans="1:15" s="21" customFormat="1" ht="25.5" customHeight="1" x14ac:dyDescent="0.25">
      <c r="A3" s="49">
        <v>1</v>
      </c>
      <c r="B3" s="51" t="s">
        <v>86</v>
      </c>
      <c r="C3" s="56">
        <v>930</v>
      </c>
      <c r="D3" s="56">
        <v>521</v>
      </c>
      <c r="E3" s="52">
        <f t="shared" ref="E3:E7" si="0">ROUND(D3*100/C3,1)</f>
        <v>56</v>
      </c>
      <c r="F3" s="49">
        <f t="shared" ref="F3:F7" si="1">D3*0.4</f>
        <v>208.4</v>
      </c>
      <c r="G3" s="131">
        <v>7</v>
      </c>
      <c r="H3" s="134"/>
      <c r="I3" s="124">
        <v>930</v>
      </c>
      <c r="J3" s="49">
        <v>521</v>
      </c>
      <c r="K3" s="49">
        <f>J3+90</f>
        <v>611</v>
      </c>
      <c r="L3" s="49">
        <f>ROUND(K3*100/I3,1)</f>
        <v>65.7</v>
      </c>
      <c r="M3" s="49">
        <f>K3*0.4</f>
        <v>244.4</v>
      </c>
      <c r="N3" s="110">
        <v>9</v>
      </c>
      <c r="O3" s="109">
        <f>N3-'3.1-khoa2018-C2'!O3</f>
        <v>2</v>
      </c>
    </row>
    <row r="4" spans="1:15" s="21" customFormat="1" ht="25.5" customHeight="1" x14ac:dyDescent="0.25">
      <c r="A4" s="49">
        <v>2</v>
      </c>
      <c r="B4" s="51" t="s">
        <v>89</v>
      </c>
      <c r="C4" s="49">
        <v>915</v>
      </c>
      <c r="D4" s="49">
        <v>491</v>
      </c>
      <c r="E4" s="52">
        <f t="shared" si="0"/>
        <v>53.7</v>
      </c>
      <c r="F4" s="49">
        <f t="shared" si="1"/>
        <v>196.4</v>
      </c>
      <c r="G4" s="131">
        <v>7</v>
      </c>
      <c r="H4" s="134"/>
      <c r="I4" s="124">
        <v>915</v>
      </c>
      <c r="J4" s="49">
        <v>491</v>
      </c>
      <c r="K4" s="49">
        <f t="shared" ref="K4:K9" si="2">J4+90</f>
        <v>581</v>
      </c>
      <c r="L4" s="49">
        <f t="shared" ref="L4:L9" si="3">ROUND(K4*100/I4,1)</f>
        <v>63.5</v>
      </c>
      <c r="M4" s="49">
        <f t="shared" ref="M4:M9" si="4">K4*0.4</f>
        <v>232.4</v>
      </c>
      <c r="N4" s="110">
        <f t="shared" ref="N4:N8" si="5">ROUND((K4*0.4)/30,0)</f>
        <v>8</v>
      </c>
      <c r="O4" s="109">
        <f>N4-'3.1-khoa2018-C2'!O4</f>
        <v>1</v>
      </c>
    </row>
    <row r="5" spans="1:15" s="21" customFormat="1" ht="25.5" customHeight="1" x14ac:dyDescent="0.25">
      <c r="A5" s="49">
        <v>3</v>
      </c>
      <c r="B5" s="51" t="s">
        <v>116</v>
      </c>
      <c r="C5" s="49">
        <v>930</v>
      </c>
      <c r="D5" s="49">
        <v>506</v>
      </c>
      <c r="E5" s="52">
        <f t="shared" si="0"/>
        <v>54.4</v>
      </c>
      <c r="F5" s="49">
        <f t="shared" si="1"/>
        <v>202.4</v>
      </c>
      <c r="G5" s="131">
        <v>7</v>
      </c>
      <c r="H5" s="134"/>
      <c r="I5" s="124">
        <v>930</v>
      </c>
      <c r="J5" s="49">
        <v>506</v>
      </c>
      <c r="K5" s="49">
        <f t="shared" si="2"/>
        <v>596</v>
      </c>
      <c r="L5" s="49">
        <f t="shared" si="3"/>
        <v>64.099999999999994</v>
      </c>
      <c r="M5" s="49">
        <f t="shared" si="4"/>
        <v>238.4</v>
      </c>
      <c r="N5" s="110">
        <f t="shared" si="5"/>
        <v>8</v>
      </c>
      <c r="O5" s="109">
        <f>N5-'3.1-khoa2018-C2'!O5</f>
        <v>1</v>
      </c>
    </row>
    <row r="6" spans="1:15" s="21" customFormat="1" ht="25.5" customHeight="1" x14ac:dyDescent="0.25">
      <c r="A6" s="49">
        <v>4</v>
      </c>
      <c r="B6" s="51" t="s">
        <v>96</v>
      </c>
      <c r="C6" s="49">
        <v>915</v>
      </c>
      <c r="D6" s="49">
        <v>491</v>
      </c>
      <c r="E6" s="52">
        <f t="shared" si="0"/>
        <v>53.7</v>
      </c>
      <c r="F6" s="49">
        <f t="shared" si="1"/>
        <v>196.4</v>
      </c>
      <c r="G6" s="131">
        <v>7</v>
      </c>
      <c r="H6" s="134"/>
      <c r="I6" s="124">
        <v>915</v>
      </c>
      <c r="J6" s="49">
        <v>491</v>
      </c>
      <c r="K6" s="49">
        <f t="shared" si="2"/>
        <v>581</v>
      </c>
      <c r="L6" s="49">
        <f t="shared" si="3"/>
        <v>63.5</v>
      </c>
      <c r="M6" s="49">
        <f t="shared" si="4"/>
        <v>232.4</v>
      </c>
      <c r="N6" s="110">
        <f t="shared" si="5"/>
        <v>8</v>
      </c>
      <c r="O6" s="109">
        <f>N6-'3.1-khoa2018-C2'!O6</f>
        <v>1</v>
      </c>
    </row>
    <row r="7" spans="1:15" s="21" customFormat="1" ht="25.5" customHeight="1" x14ac:dyDescent="0.25">
      <c r="A7" s="49">
        <v>5</v>
      </c>
      <c r="B7" s="51" t="s">
        <v>98</v>
      </c>
      <c r="C7" s="49">
        <v>1035</v>
      </c>
      <c r="D7" s="49">
        <v>737</v>
      </c>
      <c r="E7" s="49">
        <f t="shared" si="0"/>
        <v>71.2</v>
      </c>
      <c r="F7" s="49">
        <f t="shared" si="1"/>
        <v>294.8</v>
      </c>
      <c r="G7" s="131">
        <v>10</v>
      </c>
      <c r="H7" s="135"/>
      <c r="I7" s="124">
        <v>1035</v>
      </c>
      <c r="J7" s="49">
        <v>737</v>
      </c>
      <c r="K7" s="49">
        <f t="shared" si="2"/>
        <v>827</v>
      </c>
      <c r="L7" s="49">
        <f t="shared" si="3"/>
        <v>79.900000000000006</v>
      </c>
      <c r="M7" s="49">
        <f t="shared" si="4"/>
        <v>330.8</v>
      </c>
      <c r="N7" s="110">
        <f t="shared" si="5"/>
        <v>11</v>
      </c>
      <c r="O7" s="109">
        <f>N7-'3.1-khoa2018-C2'!O7</f>
        <v>1</v>
      </c>
    </row>
    <row r="8" spans="1:15" s="21" customFormat="1" ht="25.5" customHeight="1" x14ac:dyDescent="0.25">
      <c r="A8" s="49">
        <v>6</v>
      </c>
      <c r="B8" s="51" t="s">
        <v>105</v>
      </c>
      <c r="C8" s="56">
        <v>915</v>
      </c>
      <c r="D8" s="56">
        <v>487</v>
      </c>
      <c r="E8" s="52">
        <f>ROUND(D8*100/C8,1)</f>
        <v>53.2</v>
      </c>
      <c r="F8" s="49">
        <f>D8*0.4</f>
        <v>194.8</v>
      </c>
      <c r="G8" s="131">
        <v>7</v>
      </c>
      <c r="H8" s="134"/>
      <c r="I8" s="124">
        <v>915</v>
      </c>
      <c r="J8" s="49">
        <v>487</v>
      </c>
      <c r="K8" s="49">
        <f t="shared" si="2"/>
        <v>577</v>
      </c>
      <c r="L8" s="49">
        <f t="shared" si="3"/>
        <v>63.1</v>
      </c>
      <c r="M8" s="49">
        <f t="shared" si="4"/>
        <v>230.8</v>
      </c>
      <c r="N8" s="110">
        <f t="shared" si="5"/>
        <v>8</v>
      </c>
      <c r="O8" s="109">
        <f>N8-'3.1-khoa2018-C2'!O8</f>
        <v>2</v>
      </c>
    </row>
    <row r="9" spans="1:15" s="21" customFormat="1" ht="25.5" customHeight="1" x14ac:dyDescent="0.25">
      <c r="A9" s="49">
        <v>7</v>
      </c>
      <c r="B9" s="51" t="s">
        <v>109</v>
      </c>
      <c r="C9" s="49">
        <v>975</v>
      </c>
      <c r="D9" s="49">
        <v>611</v>
      </c>
      <c r="E9" s="49">
        <f>ROUND(D9*100/C9,1)</f>
        <v>62.7</v>
      </c>
      <c r="F9" s="49">
        <f>D9*0.4</f>
        <v>244.4</v>
      </c>
      <c r="G9" s="131">
        <v>9</v>
      </c>
      <c r="H9" s="134"/>
      <c r="I9" s="124">
        <v>975</v>
      </c>
      <c r="J9" s="49">
        <v>611</v>
      </c>
      <c r="K9" s="49">
        <f t="shared" si="2"/>
        <v>701</v>
      </c>
      <c r="L9" s="49">
        <f t="shared" si="3"/>
        <v>71.900000000000006</v>
      </c>
      <c r="M9" s="49">
        <f t="shared" si="4"/>
        <v>280.40000000000003</v>
      </c>
      <c r="N9" s="110">
        <v>10</v>
      </c>
      <c r="O9" s="109">
        <f>N9-'3.1-khoa2018-C2'!O9</f>
        <v>2</v>
      </c>
    </row>
    <row r="10" spans="1:15" s="21" customFormat="1" ht="25.5" customHeight="1" x14ac:dyDescent="0.25">
      <c r="A10" s="141" t="s">
        <v>65</v>
      </c>
      <c r="B10" s="141"/>
      <c r="C10" s="68" t="s">
        <v>179</v>
      </c>
      <c r="D10" s="48"/>
      <c r="E10" s="48"/>
      <c r="F10" s="49"/>
      <c r="G10" s="127"/>
      <c r="H10" s="130"/>
      <c r="I10" s="125" t="s">
        <v>172</v>
      </c>
      <c r="J10" s="49"/>
      <c r="K10" s="49"/>
      <c r="L10" s="49"/>
      <c r="M10" s="49"/>
      <c r="N10" s="49"/>
      <c r="O10" s="109"/>
    </row>
    <row r="11" spans="1:15" s="4" customFormat="1" ht="18.75" hidden="1" customHeight="1" x14ac:dyDescent="0.25">
      <c r="A11" s="26"/>
      <c r="B11" s="26"/>
      <c r="C11" s="7"/>
      <c r="D11" s="7"/>
      <c r="E11" s="7"/>
      <c r="F11" s="7"/>
      <c r="G11" s="7"/>
      <c r="H11" s="132"/>
    </row>
    <row r="12" spans="1:15" s="4" customFormat="1" ht="18.75" hidden="1" customHeight="1" x14ac:dyDescent="0.25">
      <c r="A12" s="26"/>
      <c r="B12" s="26"/>
      <c r="C12" s="7"/>
      <c r="D12" s="7"/>
      <c r="E12" s="7"/>
      <c r="F12" s="7"/>
      <c r="G12" s="7"/>
      <c r="H12" s="7"/>
    </row>
    <row r="13" spans="1:15" s="4" customFormat="1" ht="18.75" hidden="1" customHeight="1" x14ac:dyDescent="0.25">
      <c r="A13" s="26"/>
      <c r="B13" s="80" t="s">
        <v>76</v>
      </c>
      <c r="C13" s="7"/>
      <c r="D13" s="7"/>
      <c r="E13" s="7"/>
      <c r="F13" s="7"/>
      <c r="G13" s="7"/>
      <c r="H13" s="7"/>
    </row>
    <row r="14" spans="1:15" s="4" customFormat="1" ht="18.75" hidden="1" customHeight="1" x14ac:dyDescent="0.25">
      <c r="A14" s="26"/>
      <c r="B14" s="81" t="s">
        <v>74</v>
      </c>
      <c r="C14" s="7"/>
      <c r="D14" s="7"/>
      <c r="E14" s="7"/>
      <c r="F14" s="7"/>
      <c r="G14" s="7"/>
      <c r="H14" s="7"/>
    </row>
    <row r="15" spans="1:15" s="4" customFormat="1" ht="18.75" hidden="1" customHeight="1" x14ac:dyDescent="0.25">
      <c r="A15" s="26"/>
      <c r="B15" s="81" t="s">
        <v>75</v>
      </c>
      <c r="C15" s="7"/>
      <c r="D15" s="7"/>
      <c r="E15" s="7"/>
      <c r="F15" s="7"/>
      <c r="G15" s="7"/>
      <c r="H15" s="7"/>
    </row>
    <row r="16" spans="1:15" s="4" customFormat="1" ht="11.25" hidden="1" customHeight="1" x14ac:dyDescent="0.25">
      <c r="A16" s="26"/>
      <c r="B16" s="7"/>
      <c r="C16" s="7"/>
      <c r="D16" s="7"/>
      <c r="E16" s="18"/>
      <c r="F16" s="7"/>
      <c r="G16" s="7"/>
      <c r="H16" s="7"/>
    </row>
    <row r="17" spans="1:8" s="4" customFormat="1" ht="18.75" hidden="1" customHeight="1" x14ac:dyDescent="0.25">
      <c r="A17" s="26"/>
      <c r="B17" s="80" t="s">
        <v>82</v>
      </c>
      <c r="C17" s="7"/>
      <c r="D17" s="7"/>
      <c r="E17" s="7"/>
      <c r="F17" s="7"/>
      <c r="G17" s="7"/>
      <c r="H17" s="7"/>
    </row>
    <row r="18" spans="1:8" s="4" customFormat="1" ht="20.25" hidden="1" customHeight="1" x14ac:dyDescent="0.25">
      <c r="A18" s="26"/>
      <c r="B18" s="82" t="s">
        <v>83</v>
      </c>
      <c r="C18" s="26"/>
      <c r="D18" s="26"/>
      <c r="E18" s="82"/>
      <c r="F18" s="26"/>
      <c r="G18" s="26"/>
      <c r="H18" s="7"/>
    </row>
    <row r="19" spans="1:8" ht="20.25" hidden="1" customHeight="1" x14ac:dyDescent="0.25"/>
    <row r="20" spans="1:8" ht="18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0:B10"/>
    <mergeCell ref="A1:O1"/>
  </mergeCells>
  <printOptions horizontalCentered="1"/>
  <pageMargins left="0.11811023622047245" right="0.11811023622047245" top="0.11811023622047245" bottom="0.1181102362204724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"/>
  <sheetViews>
    <sheetView topLeftCell="A7" zoomScale="115" zoomScaleNormal="115" workbookViewId="0">
      <selection activeCell="B14" sqref="B14"/>
    </sheetView>
  </sheetViews>
  <sheetFormatPr defaultRowHeight="15" x14ac:dyDescent="0.25"/>
  <cols>
    <col min="1" max="1" width="3.5703125" style="2" customWidth="1"/>
    <col min="2" max="2" width="29.28515625" style="2" customWidth="1"/>
    <col min="3" max="6" width="8.140625" style="2" customWidth="1"/>
    <col min="7" max="7" width="8.140625" style="3" customWidth="1"/>
    <col min="8" max="8" width="8.140625" style="2" customWidth="1"/>
    <col min="9" max="9" width="13" style="2" hidden="1" customWidth="1"/>
    <col min="10" max="10" width="2.5703125" style="2" customWidth="1"/>
    <col min="11" max="11" width="9.140625" style="2" hidden="1" customWidth="1"/>
    <col min="12" max="17" width="8.42578125" style="2" customWidth="1"/>
    <col min="18" max="18" width="9.7109375" style="2" customWidth="1"/>
    <col min="19" max="16384" width="9.140625" style="2"/>
  </cols>
  <sheetData>
    <row r="1" spans="1:18" s="1" customFormat="1" ht="45.75" customHeight="1" x14ac:dyDescent="0.25">
      <c r="A1" s="142" t="s">
        <v>115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18" s="21" customFormat="1" ht="73.5" customHeight="1" x14ac:dyDescent="0.25">
      <c r="A2" s="50" t="s">
        <v>110</v>
      </c>
      <c r="B2" s="19" t="s">
        <v>27</v>
      </c>
      <c r="C2" s="19" t="s">
        <v>111</v>
      </c>
      <c r="D2" s="19" t="s">
        <v>28</v>
      </c>
      <c r="E2" s="19" t="s">
        <v>112</v>
      </c>
      <c r="F2" s="20" t="s">
        <v>29</v>
      </c>
      <c r="G2" s="20" t="s">
        <v>30</v>
      </c>
      <c r="H2" s="72" t="s">
        <v>31</v>
      </c>
      <c r="I2" s="116" t="s">
        <v>113</v>
      </c>
      <c r="J2" s="126"/>
      <c r="K2" s="123" t="s">
        <v>111</v>
      </c>
      <c r="L2" s="19" t="s">
        <v>28</v>
      </c>
      <c r="M2" s="111" t="s">
        <v>111</v>
      </c>
      <c r="N2" s="19" t="s">
        <v>112</v>
      </c>
      <c r="O2" s="19" t="s">
        <v>29</v>
      </c>
      <c r="P2" s="19" t="s">
        <v>30</v>
      </c>
      <c r="Q2" s="111" t="s">
        <v>31</v>
      </c>
      <c r="R2" s="115" t="s">
        <v>177</v>
      </c>
    </row>
    <row r="3" spans="1:18" s="21" customFormat="1" ht="23.25" customHeight="1" x14ac:dyDescent="0.25">
      <c r="A3" s="49">
        <v>1</v>
      </c>
      <c r="B3" s="51" t="s">
        <v>84</v>
      </c>
      <c r="C3" s="49">
        <f>645+20+165+12</f>
        <v>842</v>
      </c>
      <c r="D3" s="49">
        <f>390+1050</f>
        <v>1440</v>
      </c>
      <c r="E3" s="57">
        <f>ROUND(C3*100/D3,1)</f>
        <v>58.5</v>
      </c>
      <c r="F3" s="49">
        <f>C3*0.4</f>
        <v>336.8</v>
      </c>
      <c r="G3" s="49">
        <v>270</v>
      </c>
      <c r="H3" s="73">
        <f>ROUND((F3-G3)/30,0)</f>
        <v>2</v>
      </c>
      <c r="I3" s="117" t="s">
        <v>63</v>
      </c>
      <c r="J3" s="129"/>
      <c r="K3" s="124">
        <f>645+20+165+12</f>
        <v>842</v>
      </c>
      <c r="L3" s="49">
        <f>390+1050</f>
        <v>1440</v>
      </c>
      <c r="M3" s="110">
        <f>K3+90</f>
        <v>932</v>
      </c>
      <c r="N3" s="49">
        <f>ROUND(M3*100/L3,1)</f>
        <v>64.7</v>
      </c>
      <c r="O3" s="49">
        <f>M3*0.4</f>
        <v>372.8</v>
      </c>
      <c r="P3" s="49">
        <v>270</v>
      </c>
      <c r="Q3" s="110">
        <v>4</v>
      </c>
      <c r="R3" s="110">
        <f>Q3-'3.1-khoa2018-T4'!H3</f>
        <v>4</v>
      </c>
    </row>
    <row r="4" spans="1:18" s="21" customFormat="1" ht="23.25" customHeight="1" x14ac:dyDescent="0.25">
      <c r="A4" s="49">
        <v>2</v>
      </c>
      <c r="B4" s="51" t="s">
        <v>85</v>
      </c>
      <c r="C4" s="49">
        <f>795+16+165+12</f>
        <v>988</v>
      </c>
      <c r="D4" s="49">
        <f>390+1125</f>
        <v>1515</v>
      </c>
      <c r="E4" s="49">
        <f t="shared" ref="E4:E7" si="0">ROUND(C4*100/D4,1)</f>
        <v>65.2</v>
      </c>
      <c r="F4" s="49">
        <f t="shared" ref="F4:F34" si="1">C4*0.4</f>
        <v>395.20000000000005</v>
      </c>
      <c r="G4" s="49">
        <v>270</v>
      </c>
      <c r="H4" s="73">
        <f t="shared" ref="H4:H34" si="2">ROUND((F4-G4)/30,0)</f>
        <v>4</v>
      </c>
      <c r="I4" s="117" t="s">
        <v>51</v>
      </c>
      <c r="J4" s="129"/>
      <c r="K4" s="124">
        <f>795+16+165+12</f>
        <v>988</v>
      </c>
      <c r="L4" s="49">
        <f>390+1125</f>
        <v>1515</v>
      </c>
      <c r="M4" s="110">
        <f t="shared" ref="M4:M29" si="3">K4+90</f>
        <v>1078</v>
      </c>
      <c r="N4" s="49">
        <f t="shared" ref="N4:N29" si="4">ROUND(M4*100/L4,1)</f>
        <v>71.2</v>
      </c>
      <c r="O4" s="49">
        <f t="shared" ref="O4:O29" si="5">M4*0.4</f>
        <v>431.20000000000005</v>
      </c>
      <c r="P4" s="49">
        <v>270</v>
      </c>
      <c r="Q4" s="110">
        <v>6</v>
      </c>
      <c r="R4" s="110">
        <f>Q4-'3.1-khoa2018-T4'!H4</f>
        <v>4</v>
      </c>
    </row>
    <row r="5" spans="1:18" s="21" customFormat="1" ht="23.25" customHeight="1" x14ac:dyDescent="0.25">
      <c r="A5" s="49">
        <v>3</v>
      </c>
      <c r="B5" s="51" t="s">
        <v>86</v>
      </c>
      <c r="C5" s="49">
        <f>165+12+735+18</f>
        <v>930</v>
      </c>
      <c r="D5" s="49">
        <f>1095+390</f>
        <v>1485</v>
      </c>
      <c r="E5" s="49">
        <f t="shared" si="0"/>
        <v>62.6</v>
      </c>
      <c r="F5" s="49">
        <f t="shared" si="1"/>
        <v>372</v>
      </c>
      <c r="G5" s="49">
        <v>270</v>
      </c>
      <c r="H5" s="73">
        <f t="shared" si="2"/>
        <v>3</v>
      </c>
      <c r="I5" s="117" t="s">
        <v>50</v>
      </c>
      <c r="J5" s="129"/>
      <c r="K5" s="124">
        <f>165+12+735+18</f>
        <v>930</v>
      </c>
      <c r="L5" s="49">
        <f>1095+390</f>
        <v>1485</v>
      </c>
      <c r="M5" s="110">
        <f t="shared" si="3"/>
        <v>1020</v>
      </c>
      <c r="N5" s="49">
        <f t="shared" si="4"/>
        <v>68.7</v>
      </c>
      <c r="O5" s="49">
        <f t="shared" si="5"/>
        <v>408</v>
      </c>
      <c r="P5" s="49">
        <v>270</v>
      </c>
      <c r="Q5" s="110">
        <v>5</v>
      </c>
      <c r="R5" s="110">
        <f>Q5-'3.1-khoa2018-T4'!H5</f>
        <v>4</v>
      </c>
    </row>
    <row r="6" spans="1:18" s="21" customFormat="1" ht="23.25" customHeight="1" x14ac:dyDescent="0.25">
      <c r="A6" s="49">
        <v>4</v>
      </c>
      <c r="B6" s="51" t="s">
        <v>87</v>
      </c>
      <c r="C6" s="49"/>
      <c r="D6" s="49"/>
      <c r="E6" s="49"/>
      <c r="F6" s="49"/>
      <c r="G6" s="49"/>
      <c r="H6" s="73"/>
      <c r="I6" s="117"/>
      <c r="J6" s="129"/>
      <c r="K6" s="124"/>
      <c r="L6" s="49"/>
      <c r="M6" s="110"/>
      <c r="N6" s="49"/>
      <c r="O6" s="49"/>
      <c r="P6" s="49"/>
      <c r="Q6" s="110"/>
      <c r="R6" s="110"/>
    </row>
    <row r="7" spans="1:18" s="21" customFormat="1" ht="23.25" customHeight="1" x14ac:dyDescent="0.25">
      <c r="A7" s="49">
        <v>5</v>
      </c>
      <c r="B7" s="51" t="s">
        <v>88</v>
      </c>
      <c r="C7" s="49">
        <f>165+12+795+16</f>
        <v>988</v>
      </c>
      <c r="D7" s="49">
        <f>390+1125</f>
        <v>1515</v>
      </c>
      <c r="E7" s="49">
        <f t="shared" si="0"/>
        <v>65.2</v>
      </c>
      <c r="F7" s="49">
        <f t="shared" si="1"/>
        <v>395.20000000000005</v>
      </c>
      <c r="G7" s="49">
        <v>270</v>
      </c>
      <c r="H7" s="73">
        <f t="shared" si="2"/>
        <v>4</v>
      </c>
      <c r="I7" s="117" t="s">
        <v>51</v>
      </c>
      <c r="J7" s="129"/>
      <c r="K7" s="124">
        <f>165+12+795+16</f>
        <v>988</v>
      </c>
      <c r="L7" s="49">
        <f>390+1125</f>
        <v>1515</v>
      </c>
      <c r="M7" s="110">
        <f t="shared" si="3"/>
        <v>1078</v>
      </c>
      <c r="N7" s="49">
        <f t="shared" si="4"/>
        <v>71.2</v>
      </c>
      <c r="O7" s="49">
        <f t="shared" si="5"/>
        <v>431.20000000000005</v>
      </c>
      <c r="P7" s="49">
        <v>270</v>
      </c>
      <c r="Q7" s="110">
        <v>6</v>
      </c>
      <c r="R7" s="110">
        <f>Q7-'3.1-khoa2018-T4'!H7</f>
        <v>4</v>
      </c>
    </row>
    <row r="8" spans="1:18" s="21" customFormat="1" ht="23.25" customHeight="1" x14ac:dyDescent="0.25">
      <c r="A8" s="49">
        <v>6</v>
      </c>
      <c r="B8" s="51" t="s">
        <v>89</v>
      </c>
      <c r="C8" s="49"/>
      <c r="D8" s="49"/>
      <c r="E8" s="56"/>
      <c r="F8" s="49"/>
      <c r="G8" s="49"/>
      <c r="H8" s="73"/>
      <c r="I8" s="118"/>
      <c r="J8" s="129"/>
      <c r="K8" s="124"/>
      <c r="L8" s="49"/>
      <c r="M8" s="110"/>
      <c r="N8" s="49"/>
      <c r="O8" s="49"/>
      <c r="P8" s="49"/>
      <c r="Q8" s="110"/>
      <c r="R8" s="110"/>
    </row>
    <row r="9" spans="1:18" s="21" customFormat="1" ht="23.25" customHeight="1" x14ac:dyDescent="0.25">
      <c r="A9" s="49">
        <v>7</v>
      </c>
      <c r="B9" s="51" t="s">
        <v>90</v>
      </c>
      <c r="C9" s="49">
        <f>165+12+675+22</f>
        <v>874</v>
      </c>
      <c r="D9" s="49">
        <f>390+1065</f>
        <v>1455</v>
      </c>
      <c r="E9" s="49">
        <f t="shared" ref="E9:E29" si="6">ROUND(C9*100/D9,1)</f>
        <v>60.1</v>
      </c>
      <c r="F9" s="49">
        <f t="shared" si="1"/>
        <v>349.6</v>
      </c>
      <c r="G9" s="49">
        <v>270</v>
      </c>
      <c r="H9" s="73">
        <f t="shared" si="2"/>
        <v>3</v>
      </c>
      <c r="I9" s="117" t="s">
        <v>52</v>
      </c>
      <c r="J9" s="129"/>
      <c r="K9" s="124">
        <f>165+12+675+22</f>
        <v>874</v>
      </c>
      <c r="L9" s="49">
        <f>390+1065</f>
        <v>1455</v>
      </c>
      <c r="M9" s="110">
        <f t="shared" si="3"/>
        <v>964</v>
      </c>
      <c r="N9" s="49">
        <f t="shared" si="4"/>
        <v>66.3</v>
      </c>
      <c r="O9" s="49">
        <f t="shared" si="5"/>
        <v>385.6</v>
      </c>
      <c r="P9" s="49">
        <v>270</v>
      </c>
      <c r="Q9" s="110">
        <v>4</v>
      </c>
      <c r="R9" s="110">
        <f>Q9-'3.1-khoa2018-T4'!H9</f>
        <v>4</v>
      </c>
    </row>
    <row r="10" spans="1:18" s="21" customFormat="1" ht="23.25" customHeight="1" x14ac:dyDescent="0.25">
      <c r="A10" s="49">
        <v>8</v>
      </c>
      <c r="B10" s="51" t="s">
        <v>91</v>
      </c>
      <c r="C10" s="49">
        <f>765+20+165+12</f>
        <v>962</v>
      </c>
      <c r="D10" s="49">
        <f>390+1110</f>
        <v>1500</v>
      </c>
      <c r="E10" s="49">
        <f t="shared" si="6"/>
        <v>64.099999999999994</v>
      </c>
      <c r="F10" s="49">
        <f t="shared" si="1"/>
        <v>384.8</v>
      </c>
      <c r="G10" s="49">
        <v>270</v>
      </c>
      <c r="H10" s="73">
        <f t="shared" si="2"/>
        <v>4</v>
      </c>
      <c r="I10" s="117" t="s">
        <v>49</v>
      </c>
      <c r="J10" s="129"/>
      <c r="K10" s="124">
        <f>765+20+165+12</f>
        <v>962</v>
      </c>
      <c r="L10" s="49">
        <f>390+1110</f>
        <v>1500</v>
      </c>
      <c r="M10" s="110">
        <f t="shared" si="3"/>
        <v>1052</v>
      </c>
      <c r="N10" s="49">
        <f t="shared" si="4"/>
        <v>70.099999999999994</v>
      </c>
      <c r="O10" s="49">
        <f t="shared" si="5"/>
        <v>420.8</v>
      </c>
      <c r="P10" s="49">
        <v>270</v>
      </c>
      <c r="Q10" s="110">
        <v>5</v>
      </c>
      <c r="R10" s="110">
        <f>Q10-'3.1-khoa2018-T4'!H10</f>
        <v>3</v>
      </c>
    </row>
    <row r="11" spans="1:18" s="21" customFormat="1" ht="23.25" customHeight="1" x14ac:dyDescent="0.25">
      <c r="A11" s="49">
        <v>9</v>
      </c>
      <c r="B11" s="51" t="s">
        <v>8</v>
      </c>
      <c r="C11" s="49">
        <f>705+16+165+12</f>
        <v>898</v>
      </c>
      <c r="D11" s="49">
        <f>390+1080</f>
        <v>1470</v>
      </c>
      <c r="E11" s="49">
        <f t="shared" si="6"/>
        <v>61.1</v>
      </c>
      <c r="F11" s="49">
        <f t="shared" si="1"/>
        <v>359.20000000000005</v>
      </c>
      <c r="G11" s="49">
        <v>270</v>
      </c>
      <c r="H11" s="73">
        <f t="shared" si="2"/>
        <v>3</v>
      </c>
      <c r="I11" s="117" t="s">
        <v>35</v>
      </c>
      <c r="J11" s="129"/>
      <c r="K11" s="124">
        <f>705+16+165+12</f>
        <v>898</v>
      </c>
      <c r="L11" s="49">
        <f>390+1080</f>
        <v>1470</v>
      </c>
      <c r="M11" s="110">
        <f t="shared" si="3"/>
        <v>988</v>
      </c>
      <c r="N11" s="49">
        <f t="shared" si="4"/>
        <v>67.2</v>
      </c>
      <c r="O11" s="49">
        <f t="shared" si="5"/>
        <v>395.20000000000005</v>
      </c>
      <c r="P11" s="49">
        <v>270</v>
      </c>
      <c r="Q11" s="110">
        <v>5</v>
      </c>
      <c r="R11" s="110">
        <f>Q11-'3.1-khoa2018-T4'!H11</f>
        <v>4</v>
      </c>
    </row>
    <row r="12" spans="1:18" s="21" customFormat="1" ht="23.25" customHeight="1" x14ac:dyDescent="0.25">
      <c r="A12" s="49">
        <v>10</v>
      </c>
      <c r="B12" s="51" t="s">
        <v>92</v>
      </c>
      <c r="C12" s="49">
        <f>165+12+765+16</f>
        <v>958</v>
      </c>
      <c r="D12" s="49">
        <f>1110+390</f>
        <v>1500</v>
      </c>
      <c r="E12" s="49">
        <f t="shared" si="6"/>
        <v>63.9</v>
      </c>
      <c r="F12" s="49">
        <f t="shared" si="1"/>
        <v>383.20000000000005</v>
      </c>
      <c r="G12" s="49">
        <v>270</v>
      </c>
      <c r="H12" s="73">
        <f t="shared" si="2"/>
        <v>4</v>
      </c>
      <c r="I12" s="117" t="s">
        <v>35</v>
      </c>
      <c r="J12" s="129"/>
      <c r="K12" s="124">
        <f>165+12+765+16</f>
        <v>958</v>
      </c>
      <c r="L12" s="49">
        <f>1110+390</f>
        <v>1500</v>
      </c>
      <c r="M12" s="110">
        <f t="shared" si="3"/>
        <v>1048</v>
      </c>
      <c r="N12" s="49">
        <f t="shared" si="4"/>
        <v>69.900000000000006</v>
      </c>
      <c r="O12" s="49">
        <f t="shared" si="5"/>
        <v>419.20000000000005</v>
      </c>
      <c r="P12" s="49">
        <v>270</v>
      </c>
      <c r="Q12" s="110">
        <v>5</v>
      </c>
      <c r="R12" s="110">
        <f>Q12-'3.1-khoa2018-T4'!H12</f>
        <v>3</v>
      </c>
    </row>
    <row r="13" spans="1:18" s="21" customFormat="1" ht="23.25" customHeight="1" x14ac:dyDescent="0.25">
      <c r="A13" s="49">
        <v>11</v>
      </c>
      <c r="B13" s="51" t="s">
        <v>146</v>
      </c>
      <c r="C13" s="49"/>
      <c r="D13" s="49"/>
      <c r="E13" s="49"/>
      <c r="F13" s="49"/>
      <c r="G13" s="49"/>
      <c r="H13" s="73"/>
      <c r="I13" s="118"/>
      <c r="J13" s="129"/>
      <c r="K13" s="124"/>
      <c r="L13" s="49"/>
      <c r="M13" s="110"/>
      <c r="N13" s="49"/>
      <c r="O13" s="49"/>
      <c r="P13" s="49"/>
      <c r="Q13" s="110"/>
      <c r="R13" s="110"/>
    </row>
    <row r="14" spans="1:18" s="21" customFormat="1" ht="23.25" customHeight="1" x14ac:dyDescent="0.25">
      <c r="A14" s="49">
        <v>12</v>
      </c>
      <c r="B14" s="51" t="s">
        <v>94</v>
      </c>
      <c r="C14" s="49"/>
      <c r="D14" s="49"/>
      <c r="E14" s="56"/>
      <c r="F14" s="49"/>
      <c r="G14" s="49"/>
      <c r="H14" s="73"/>
      <c r="I14" s="118"/>
      <c r="J14" s="129"/>
      <c r="K14" s="124"/>
      <c r="L14" s="49"/>
      <c r="M14" s="110"/>
      <c r="N14" s="49"/>
      <c r="O14" s="49"/>
      <c r="P14" s="49"/>
      <c r="Q14" s="110"/>
      <c r="R14" s="110"/>
    </row>
    <row r="15" spans="1:18" s="21" customFormat="1" ht="23.25" customHeight="1" x14ac:dyDescent="0.25">
      <c r="A15" s="49">
        <v>13</v>
      </c>
      <c r="B15" s="51" t="s">
        <v>95</v>
      </c>
      <c r="C15" s="49"/>
      <c r="D15" s="49"/>
      <c r="E15" s="49"/>
      <c r="F15" s="49"/>
      <c r="G15" s="49"/>
      <c r="H15" s="73"/>
      <c r="I15" s="118"/>
      <c r="J15" s="129"/>
      <c r="K15" s="124"/>
      <c r="L15" s="49"/>
      <c r="M15" s="110"/>
      <c r="N15" s="49"/>
      <c r="O15" s="49"/>
      <c r="P15" s="49"/>
      <c r="Q15" s="110"/>
      <c r="R15" s="110"/>
    </row>
    <row r="16" spans="1:18" s="21" customFormat="1" ht="23.25" customHeight="1" x14ac:dyDescent="0.25">
      <c r="A16" s="49">
        <v>14</v>
      </c>
      <c r="B16" s="51" t="s">
        <v>96</v>
      </c>
      <c r="C16" s="49">
        <f>675+16+165+12</f>
        <v>868</v>
      </c>
      <c r="D16" s="49">
        <f>390+1065</f>
        <v>1455</v>
      </c>
      <c r="E16" s="57">
        <f t="shared" si="6"/>
        <v>59.7</v>
      </c>
      <c r="F16" s="49">
        <f t="shared" si="1"/>
        <v>347.20000000000005</v>
      </c>
      <c r="G16" s="49">
        <v>270</v>
      </c>
      <c r="H16" s="73">
        <f t="shared" si="2"/>
        <v>3</v>
      </c>
      <c r="I16" s="117" t="s">
        <v>35</v>
      </c>
      <c r="J16" s="129"/>
      <c r="K16" s="124">
        <f>675+16+165+12</f>
        <v>868</v>
      </c>
      <c r="L16" s="49">
        <f>390+1065</f>
        <v>1455</v>
      </c>
      <c r="M16" s="110">
        <f t="shared" si="3"/>
        <v>958</v>
      </c>
      <c r="N16" s="49">
        <f t="shared" si="4"/>
        <v>65.8</v>
      </c>
      <c r="O16" s="49">
        <f t="shared" si="5"/>
        <v>383.20000000000005</v>
      </c>
      <c r="P16" s="49">
        <v>270</v>
      </c>
      <c r="Q16" s="110">
        <v>4</v>
      </c>
      <c r="R16" s="110">
        <f>Q16-'3.1-khoa2018-T4'!H16</f>
        <v>3</v>
      </c>
    </row>
    <row r="17" spans="1:18" s="21" customFormat="1" ht="23.25" customHeight="1" x14ac:dyDescent="0.25">
      <c r="A17" s="49">
        <v>15</v>
      </c>
      <c r="B17" s="51" t="s">
        <v>97</v>
      </c>
      <c r="C17" s="49"/>
      <c r="D17" s="49"/>
      <c r="E17" s="49"/>
      <c r="F17" s="49"/>
      <c r="G17" s="49"/>
      <c r="H17" s="73"/>
      <c r="I17" s="118"/>
      <c r="J17" s="129"/>
      <c r="K17" s="124"/>
      <c r="L17" s="49"/>
      <c r="M17" s="110"/>
      <c r="N17" s="49"/>
      <c r="O17" s="49"/>
      <c r="P17" s="49"/>
      <c r="Q17" s="110"/>
      <c r="R17" s="110"/>
    </row>
    <row r="18" spans="1:18" s="21" customFormat="1" ht="31.5" customHeight="1" x14ac:dyDescent="0.25">
      <c r="A18" s="49">
        <v>16</v>
      </c>
      <c r="B18" s="51" t="s">
        <v>98</v>
      </c>
      <c r="C18" s="49">
        <f>165+12+825+30</f>
        <v>1032</v>
      </c>
      <c r="D18" s="49">
        <f>1140+390</f>
        <v>1530</v>
      </c>
      <c r="E18" s="49">
        <f t="shared" si="6"/>
        <v>67.5</v>
      </c>
      <c r="F18" s="49">
        <f t="shared" si="1"/>
        <v>412.8</v>
      </c>
      <c r="G18" s="49">
        <v>270</v>
      </c>
      <c r="H18" s="73">
        <f t="shared" si="2"/>
        <v>5</v>
      </c>
      <c r="I18" s="120" t="s">
        <v>55</v>
      </c>
      <c r="J18" s="129"/>
      <c r="K18" s="124">
        <f>165+12+825+30</f>
        <v>1032</v>
      </c>
      <c r="L18" s="49">
        <f>1140+390</f>
        <v>1530</v>
      </c>
      <c r="M18" s="110">
        <f t="shared" si="3"/>
        <v>1122</v>
      </c>
      <c r="N18" s="49">
        <f t="shared" si="4"/>
        <v>73.3</v>
      </c>
      <c r="O18" s="49">
        <f t="shared" si="5"/>
        <v>448.8</v>
      </c>
      <c r="P18" s="49">
        <v>270</v>
      </c>
      <c r="Q18" s="110">
        <v>6</v>
      </c>
      <c r="R18" s="110">
        <f>Q18-'3.1-khoa2018-T4'!H18</f>
        <v>3</v>
      </c>
    </row>
    <row r="19" spans="1:18" s="21" customFormat="1" ht="31.5" customHeight="1" x14ac:dyDescent="0.25">
      <c r="A19" s="49">
        <v>17</v>
      </c>
      <c r="B19" s="51" t="s">
        <v>99</v>
      </c>
      <c r="C19" s="49">
        <f>825+30+165+12</f>
        <v>1032</v>
      </c>
      <c r="D19" s="49">
        <f>390+1140</f>
        <v>1530</v>
      </c>
      <c r="E19" s="56">
        <f t="shared" si="6"/>
        <v>67.5</v>
      </c>
      <c r="F19" s="49">
        <f t="shared" si="1"/>
        <v>412.8</v>
      </c>
      <c r="G19" s="49">
        <v>270</v>
      </c>
      <c r="H19" s="73">
        <f t="shared" si="2"/>
        <v>5</v>
      </c>
      <c r="I19" s="120" t="s">
        <v>54</v>
      </c>
      <c r="J19" s="129"/>
      <c r="K19" s="124">
        <f>825+30+165+12</f>
        <v>1032</v>
      </c>
      <c r="L19" s="49">
        <f>390+1140</f>
        <v>1530</v>
      </c>
      <c r="M19" s="110">
        <f t="shared" si="3"/>
        <v>1122</v>
      </c>
      <c r="N19" s="49">
        <f t="shared" si="4"/>
        <v>73.3</v>
      </c>
      <c r="O19" s="49">
        <f t="shared" si="5"/>
        <v>448.8</v>
      </c>
      <c r="P19" s="49">
        <v>270</v>
      </c>
      <c r="Q19" s="110">
        <v>6</v>
      </c>
      <c r="R19" s="110">
        <f>Q19-'3.1-khoa2018-T4'!H19</f>
        <v>3</v>
      </c>
    </row>
    <row r="20" spans="1:18" s="21" customFormat="1" ht="31.5" customHeight="1" x14ac:dyDescent="0.25">
      <c r="A20" s="49">
        <v>18</v>
      </c>
      <c r="B20" s="51" t="s">
        <v>100</v>
      </c>
      <c r="C20" s="49">
        <f>165+12+825+30</f>
        <v>1032</v>
      </c>
      <c r="D20" s="49">
        <f>390+1140</f>
        <v>1530</v>
      </c>
      <c r="E20" s="49">
        <f t="shared" si="6"/>
        <v>67.5</v>
      </c>
      <c r="F20" s="49">
        <f t="shared" si="1"/>
        <v>412.8</v>
      </c>
      <c r="G20" s="49">
        <v>270</v>
      </c>
      <c r="H20" s="73">
        <f t="shared" si="2"/>
        <v>5</v>
      </c>
      <c r="I20" s="120" t="s">
        <v>59</v>
      </c>
      <c r="J20" s="129"/>
      <c r="K20" s="124">
        <f>165+12+825+30</f>
        <v>1032</v>
      </c>
      <c r="L20" s="49">
        <f>390+1140</f>
        <v>1530</v>
      </c>
      <c r="M20" s="110">
        <f t="shared" si="3"/>
        <v>1122</v>
      </c>
      <c r="N20" s="49">
        <f t="shared" si="4"/>
        <v>73.3</v>
      </c>
      <c r="O20" s="49">
        <f t="shared" si="5"/>
        <v>448.8</v>
      </c>
      <c r="P20" s="49">
        <v>270</v>
      </c>
      <c r="Q20" s="110">
        <v>6</v>
      </c>
      <c r="R20" s="110">
        <f>Q20-'3.1-khoa2018-T4'!H20</f>
        <v>3</v>
      </c>
    </row>
    <row r="21" spans="1:18" s="21" customFormat="1" ht="31.5" customHeight="1" x14ac:dyDescent="0.25">
      <c r="A21" s="49">
        <v>19</v>
      </c>
      <c r="B21" s="51" t="s">
        <v>101</v>
      </c>
      <c r="C21" s="49">
        <f>165+12+825+30</f>
        <v>1032</v>
      </c>
      <c r="D21" s="49">
        <f>390+1140</f>
        <v>1530</v>
      </c>
      <c r="E21" s="49">
        <f t="shared" si="6"/>
        <v>67.5</v>
      </c>
      <c r="F21" s="49">
        <f t="shared" si="1"/>
        <v>412.8</v>
      </c>
      <c r="G21" s="49">
        <v>270</v>
      </c>
      <c r="H21" s="73">
        <f t="shared" si="2"/>
        <v>5</v>
      </c>
      <c r="I21" s="120" t="s">
        <v>53</v>
      </c>
      <c r="J21" s="129"/>
      <c r="K21" s="124">
        <f>165+12+825+30</f>
        <v>1032</v>
      </c>
      <c r="L21" s="49">
        <f>390+1140</f>
        <v>1530</v>
      </c>
      <c r="M21" s="110">
        <f t="shared" si="3"/>
        <v>1122</v>
      </c>
      <c r="N21" s="49">
        <f t="shared" si="4"/>
        <v>73.3</v>
      </c>
      <c r="O21" s="49">
        <f t="shared" si="5"/>
        <v>448.8</v>
      </c>
      <c r="P21" s="49">
        <v>270</v>
      </c>
      <c r="Q21" s="110">
        <v>6</v>
      </c>
      <c r="R21" s="110">
        <f>Q21-'3.1-khoa2018-T4'!H21</f>
        <v>3</v>
      </c>
    </row>
    <row r="22" spans="1:18" s="21" customFormat="1" ht="31.5" customHeight="1" x14ac:dyDescent="0.25">
      <c r="A22" s="49">
        <v>20</v>
      </c>
      <c r="B22" s="51" t="s">
        <v>102</v>
      </c>
      <c r="C22" s="49">
        <f>165+12+795+22</f>
        <v>994</v>
      </c>
      <c r="D22" s="49">
        <f>1125+390</f>
        <v>1515</v>
      </c>
      <c r="E22" s="49">
        <f t="shared" si="6"/>
        <v>65.599999999999994</v>
      </c>
      <c r="F22" s="49">
        <f t="shared" si="1"/>
        <v>397.6</v>
      </c>
      <c r="G22" s="49">
        <v>270</v>
      </c>
      <c r="H22" s="73">
        <f t="shared" si="2"/>
        <v>4</v>
      </c>
      <c r="I22" s="120" t="s">
        <v>56</v>
      </c>
      <c r="J22" s="129"/>
      <c r="K22" s="124">
        <f>165+12+795+22</f>
        <v>994</v>
      </c>
      <c r="L22" s="49">
        <f>1125+390</f>
        <v>1515</v>
      </c>
      <c r="M22" s="110">
        <f t="shared" si="3"/>
        <v>1084</v>
      </c>
      <c r="N22" s="49">
        <f t="shared" si="4"/>
        <v>71.599999999999994</v>
      </c>
      <c r="O22" s="49">
        <f t="shared" si="5"/>
        <v>433.6</v>
      </c>
      <c r="P22" s="49">
        <v>270</v>
      </c>
      <c r="Q22" s="110">
        <v>6</v>
      </c>
      <c r="R22" s="110">
        <f>Q22-'3.1-khoa2018-T4'!H22</f>
        <v>4</v>
      </c>
    </row>
    <row r="23" spans="1:18" s="21" customFormat="1" ht="31.5" customHeight="1" x14ac:dyDescent="0.25">
      <c r="A23" s="49">
        <v>21</v>
      </c>
      <c r="B23" s="51" t="s">
        <v>103</v>
      </c>
      <c r="C23" s="49">
        <f>165+12+210+10+555+14+60+2</f>
        <v>1028</v>
      </c>
      <c r="D23" s="49">
        <f>390+315+735+90</f>
        <v>1530</v>
      </c>
      <c r="E23" s="49">
        <f t="shared" si="6"/>
        <v>67.2</v>
      </c>
      <c r="F23" s="49">
        <f t="shared" si="1"/>
        <v>411.20000000000005</v>
      </c>
      <c r="G23" s="49">
        <v>270</v>
      </c>
      <c r="H23" s="73">
        <f t="shared" si="2"/>
        <v>5</v>
      </c>
      <c r="I23" s="120" t="s">
        <v>58</v>
      </c>
      <c r="J23" s="129"/>
      <c r="K23" s="124">
        <f>165+12+210+10+555+14+60+2</f>
        <v>1028</v>
      </c>
      <c r="L23" s="49">
        <f>390+315+735+90</f>
        <v>1530</v>
      </c>
      <c r="M23" s="110">
        <f t="shared" si="3"/>
        <v>1118</v>
      </c>
      <c r="N23" s="49">
        <f t="shared" si="4"/>
        <v>73.099999999999994</v>
      </c>
      <c r="O23" s="49">
        <f t="shared" si="5"/>
        <v>447.20000000000005</v>
      </c>
      <c r="P23" s="49">
        <v>270</v>
      </c>
      <c r="Q23" s="110">
        <v>6</v>
      </c>
      <c r="R23" s="110">
        <f>Q23-'3.1-khoa2018-T4'!H23</f>
        <v>3</v>
      </c>
    </row>
    <row r="24" spans="1:18" s="21" customFormat="1" ht="31.5" customHeight="1" x14ac:dyDescent="0.25">
      <c r="A24" s="49">
        <v>22</v>
      </c>
      <c r="B24" s="51" t="s">
        <v>104</v>
      </c>
      <c r="C24" s="49">
        <f>165+12+795+24</f>
        <v>996</v>
      </c>
      <c r="D24" s="49">
        <f>390+1125</f>
        <v>1515</v>
      </c>
      <c r="E24" s="49">
        <f t="shared" si="6"/>
        <v>65.7</v>
      </c>
      <c r="F24" s="49">
        <f t="shared" si="1"/>
        <v>398.40000000000003</v>
      </c>
      <c r="G24" s="49">
        <v>270</v>
      </c>
      <c r="H24" s="73">
        <f t="shared" si="2"/>
        <v>4</v>
      </c>
      <c r="I24" s="120" t="s">
        <v>57</v>
      </c>
      <c r="J24" s="129"/>
      <c r="K24" s="124">
        <f>165+12+795+24</f>
        <v>996</v>
      </c>
      <c r="L24" s="49">
        <f>390+1125</f>
        <v>1515</v>
      </c>
      <c r="M24" s="110">
        <f t="shared" si="3"/>
        <v>1086</v>
      </c>
      <c r="N24" s="49">
        <f t="shared" si="4"/>
        <v>71.7</v>
      </c>
      <c r="O24" s="49">
        <f t="shared" si="5"/>
        <v>434.40000000000003</v>
      </c>
      <c r="P24" s="49">
        <v>270</v>
      </c>
      <c r="Q24" s="110">
        <v>6</v>
      </c>
      <c r="R24" s="110">
        <f>Q24-'3.1-khoa2018-T4'!H24</f>
        <v>4</v>
      </c>
    </row>
    <row r="25" spans="1:18" s="21" customFormat="1" ht="25.5" customHeight="1" x14ac:dyDescent="0.25">
      <c r="A25" s="49">
        <v>23</v>
      </c>
      <c r="B25" s="51" t="s">
        <v>105</v>
      </c>
      <c r="C25" s="49">
        <f>165+12+630+22</f>
        <v>829</v>
      </c>
      <c r="D25" s="49">
        <f>390+1050</f>
        <v>1440</v>
      </c>
      <c r="E25" s="57">
        <f t="shared" si="6"/>
        <v>57.6</v>
      </c>
      <c r="F25" s="49">
        <f t="shared" si="1"/>
        <v>331.6</v>
      </c>
      <c r="G25" s="49">
        <v>270</v>
      </c>
      <c r="H25" s="73">
        <f t="shared" si="2"/>
        <v>2</v>
      </c>
      <c r="I25" s="117" t="s">
        <v>61</v>
      </c>
      <c r="J25" s="129"/>
      <c r="K25" s="124">
        <f>165+12+630+22</f>
        <v>829</v>
      </c>
      <c r="L25" s="49">
        <f>390+1050</f>
        <v>1440</v>
      </c>
      <c r="M25" s="110">
        <f t="shared" si="3"/>
        <v>919</v>
      </c>
      <c r="N25" s="49">
        <f t="shared" si="4"/>
        <v>63.8</v>
      </c>
      <c r="O25" s="49">
        <f t="shared" si="5"/>
        <v>367.6</v>
      </c>
      <c r="P25" s="49">
        <v>270</v>
      </c>
      <c r="Q25" s="110">
        <v>4</v>
      </c>
      <c r="R25" s="110">
        <f>Q25-'3.1-khoa2018-T4'!H25</f>
        <v>4</v>
      </c>
    </row>
    <row r="26" spans="1:18" s="21" customFormat="1" ht="25.5" customHeight="1" x14ac:dyDescent="0.25">
      <c r="A26" s="49">
        <v>24</v>
      </c>
      <c r="B26" s="51" t="s">
        <v>106</v>
      </c>
      <c r="C26" s="49">
        <f>720+20+165+12</f>
        <v>917</v>
      </c>
      <c r="D26" s="49">
        <f>390+1080</f>
        <v>1470</v>
      </c>
      <c r="E26" s="56">
        <f t="shared" si="6"/>
        <v>62.4</v>
      </c>
      <c r="F26" s="49">
        <f t="shared" si="1"/>
        <v>366.8</v>
      </c>
      <c r="G26" s="49">
        <v>270</v>
      </c>
      <c r="H26" s="73">
        <f t="shared" si="2"/>
        <v>3</v>
      </c>
      <c r="I26" s="117" t="s">
        <v>45</v>
      </c>
      <c r="J26" s="129"/>
      <c r="K26" s="124">
        <f>720+20+165+12</f>
        <v>917</v>
      </c>
      <c r="L26" s="49">
        <f>390+1080</f>
        <v>1470</v>
      </c>
      <c r="M26" s="110">
        <f t="shared" si="3"/>
        <v>1007</v>
      </c>
      <c r="N26" s="49">
        <f t="shared" si="4"/>
        <v>68.5</v>
      </c>
      <c r="O26" s="49">
        <f t="shared" si="5"/>
        <v>402.8</v>
      </c>
      <c r="P26" s="49">
        <v>270</v>
      </c>
      <c r="Q26" s="110">
        <v>5</v>
      </c>
      <c r="R26" s="110">
        <f>Q26-'3.1-khoa2018-T4'!H26</f>
        <v>4</v>
      </c>
    </row>
    <row r="27" spans="1:18" s="21" customFormat="1" ht="25.5" customHeight="1" x14ac:dyDescent="0.25">
      <c r="A27" s="49">
        <v>25</v>
      </c>
      <c r="B27" s="51" t="s">
        <v>107</v>
      </c>
      <c r="C27" s="49">
        <f>645+24+165+12</f>
        <v>846</v>
      </c>
      <c r="D27" s="49">
        <f>390+1050</f>
        <v>1440</v>
      </c>
      <c r="E27" s="57">
        <f t="shared" si="6"/>
        <v>58.8</v>
      </c>
      <c r="F27" s="49">
        <f t="shared" si="1"/>
        <v>338.40000000000003</v>
      </c>
      <c r="G27" s="49">
        <v>270</v>
      </c>
      <c r="H27" s="73">
        <f t="shared" si="2"/>
        <v>2</v>
      </c>
      <c r="I27" s="117" t="s">
        <v>60</v>
      </c>
      <c r="J27" s="129"/>
      <c r="K27" s="124">
        <f>645+24+165+12</f>
        <v>846</v>
      </c>
      <c r="L27" s="49">
        <f>390+1050</f>
        <v>1440</v>
      </c>
      <c r="M27" s="110">
        <f t="shared" si="3"/>
        <v>936</v>
      </c>
      <c r="N27" s="49">
        <f t="shared" si="4"/>
        <v>65</v>
      </c>
      <c r="O27" s="49">
        <f t="shared" si="5"/>
        <v>374.40000000000003</v>
      </c>
      <c r="P27" s="49">
        <v>270</v>
      </c>
      <c r="Q27" s="110">
        <v>4</v>
      </c>
      <c r="R27" s="110">
        <f>Q27-'3.1-khoa2018-T4'!H27</f>
        <v>4</v>
      </c>
    </row>
    <row r="28" spans="1:18" s="21" customFormat="1" ht="25.5" customHeight="1" x14ac:dyDescent="0.25">
      <c r="A28" s="49">
        <v>26</v>
      </c>
      <c r="B28" s="51" t="s">
        <v>108</v>
      </c>
      <c r="C28" s="49">
        <f>165+12+615+22</f>
        <v>814</v>
      </c>
      <c r="D28" s="49">
        <f>1035+390</f>
        <v>1425</v>
      </c>
      <c r="E28" s="57">
        <f t="shared" si="6"/>
        <v>57.1</v>
      </c>
      <c r="F28" s="49">
        <f t="shared" si="1"/>
        <v>325.60000000000002</v>
      </c>
      <c r="G28" s="49">
        <v>270</v>
      </c>
      <c r="H28" s="73">
        <f t="shared" si="2"/>
        <v>2</v>
      </c>
      <c r="I28" s="117" t="s">
        <v>62</v>
      </c>
      <c r="J28" s="129"/>
      <c r="K28" s="124">
        <f>165+12+615+22</f>
        <v>814</v>
      </c>
      <c r="L28" s="49">
        <f>1035+390</f>
        <v>1425</v>
      </c>
      <c r="M28" s="110">
        <f t="shared" si="3"/>
        <v>904</v>
      </c>
      <c r="N28" s="49">
        <f t="shared" si="4"/>
        <v>63.4</v>
      </c>
      <c r="O28" s="49">
        <f t="shared" si="5"/>
        <v>361.6</v>
      </c>
      <c r="P28" s="49">
        <v>270</v>
      </c>
      <c r="Q28" s="110">
        <v>4</v>
      </c>
      <c r="R28" s="110">
        <f>Q28-'3.1-khoa2018-T4'!H28</f>
        <v>4</v>
      </c>
    </row>
    <row r="29" spans="1:18" s="21" customFormat="1" ht="25.5" customHeight="1" x14ac:dyDescent="0.25">
      <c r="A29" s="49">
        <v>27</v>
      </c>
      <c r="B29" s="51" t="s">
        <v>109</v>
      </c>
      <c r="C29" s="49">
        <f>165+12+825+20</f>
        <v>1022</v>
      </c>
      <c r="D29" s="49">
        <f>1140+390</f>
        <v>1530</v>
      </c>
      <c r="E29" s="49">
        <f t="shared" si="6"/>
        <v>66.8</v>
      </c>
      <c r="F29" s="49">
        <f t="shared" si="1"/>
        <v>408.8</v>
      </c>
      <c r="G29" s="49">
        <v>270</v>
      </c>
      <c r="H29" s="73">
        <f t="shared" si="2"/>
        <v>5</v>
      </c>
      <c r="I29" s="117" t="s">
        <v>47</v>
      </c>
      <c r="J29" s="129"/>
      <c r="K29" s="124">
        <f>165+12+825+20</f>
        <v>1022</v>
      </c>
      <c r="L29" s="49">
        <f>1140+390</f>
        <v>1530</v>
      </c>
      <c r="M29" s="110">
        <f t="shared" si="3"/>
        <v>1112</v>
      </c>
      <c r="N29" s="49">
        <f t="shared" si="4"/>
        <v>72.7</v>
      </c>
      <c r="O29" s="49">
        <f t="shared" si="5"/>
        <v>444.8</v>
      </c>
      <c r="P29" s="49">
        <v>270</v>
      </c>
      <c r="Q29" s="110">
        <v>6</v>
      </c>
      <c r="R29" s="110">
        <f>Q29-'3.1-khoa2018-T4'!H29</f>
        <v>3</v>
      </c>
    </row>
    <row r="30" spans="1:18" s="21" customFormat="1" ht="18.75" customHeight="1" x14ac:dyDescent="0.25">
      <c r="A30" s="141" t="s">
        <v>65</v>
      </c>
      <c r="B30" s="141"/>
      <c r="C30" s="68" t="s">
        <v>73</v>
      </c>
      <c r="D30" s="49"/>
      <c r="E30" s="49"/>
      <c r="F30" s="49"/>
      <c r="G30" s="49"/>
      <c r="H30" s="56">
        <f>COUNT(H3:H29)</f>
        <v>21</v>
      </c>
      <c r="I30" s="127"/>
      <c r="J30" s="130"/>
      <c r="L30" s="128" t="s">
        <v>68</v>
      </c>
      <c r="M30" s="48"/>
      <c r="N30" s="48"/>
      <c r="O30" s="48"/>
      <c r="P30" s="48"/>
      <c r="Q30" s="48"/>
      <c r="R30" s="48"/>
    </row>
    <row r="31" spans="1:18" s="4" customFormat="1" ht="18.75" hidden="1" customHeight="1" x14ac:dyDescent="0.25">
      <c r="B31" s="9"/>
      <c r="C31" s="24"/>
      <c r="D31" s="24"/>
      <c r="E31" s="24"/>
      <c r="F31" s="24"/>
      <c r="G31" s="24"/>
      <c r="H31" s="25"/>
      <c r="I31" s="25"/>
      <c r="J31" s="5"/>
    </row>
    <row r="32" spans="1:18" s="4" customFormat="1" ht="18.75" hidden="1" customHeight="1" x14ac:dyDescent="0.25">
      <c r="B32" s="9"/>
      <c r="C32" s="7">
        <f>795+26</f>
        <v>821</v>
      </c>
      <c r="D32" s="7">
        <v>1275</v>
      </c>
      <c r="E32" s="8">
        <f t="shared" ref="E32:E34" si="7">ROUND(C32*100/D32,1)</f>
        <v>64.400000000000006</v>
      </c>
      <c r="F32" s="7">
        <f t="shared" si="1"/>
        <v>328.40000000000003</v>
      </c>
      <c r="G32" s="7">
        <v>270</v>
      </c>
      <c r="H32" s="6">
        <f t="shared" si="2"/>
        <v>2</v>
      </c>
      <c r="I32" s="6"/>
      <c r="J32" s="16"/>
    </row>
    <row r="33" spans="2:10" s="4" customFormat="1" ht="18.75" hidden="1" customHeight="1" x14ac:dyDescent="0.25">
      <c r="B33" s="13" t="s">
        <v>76</v>
      </c>
      <c r="C33" s="7">
        <f>855+28</f>
        <v>883</v>
      </c>
      <c r="D33" s="7">
        <v>1305</v>
      </c>
      <c r="E33" s="7">
        <f t="shared" si="7"/>
        <v>67.7</v>
      </c>
      <c r="F33" s="7">
        <f t="shared" si="1"/>
        <v>353.20000000000005</v>
      </c>
      <c r="G33" s="7">
        <v>270</v>
      </c>
      <c r="H33" s="6">
        <f t="shared" si="2"/>
        <v>3</v>
      </c>
      <c r="I33" s="6"/>
      <c r="J33" s="5"/>
    </row>
    <row r="34" spans="2:10" s="4" customFormat="1" ht="18.75" hidden="1" customHeight="1" x14ac:dyDescent="0.25">
      <c r="B34" s="22" t="s">
        <v>74</v>
      </c>
      <c r="C34" s="7">
        <f>165+12+795+16</f>
        <v>988</v>
      </c>
      <c r="D34" s="7">
        <f>390+1125</f>
        <v>1515</v>
      </c>
      <c r="E34" s="8">
        <f t="shared" si="7"/>
        <v>65.2</v>
      </c>
      <c r="F34" s="7">
        <f t="shared" si="1"/>
        <v>395.20000000000005</v>
      </c>
      <c r="G34" s="7">
        <v>270</v>
      </c>
      <c r="H34" s="6">
        <f t="shared" si="2"/>
        <v>4</v>
      </c>
      <c r="I34" s="6"/>
      <c r="J34" s="16"/>
    </row>
    <row r="35" spans="2:10" s="4" customFormat="1" ht="18.75" hidden="1" customHeight="1" x14ac:dyDescent="0.25">
      <c r="B35" s="22" t="s">
        <v>75</v>
      </c>
      <c r="C35" s="23" t="s">
        <v>72</v>
      </c>
      <c r="D35" s="7"/>
      <c r="E35" s="18"/>
      <c r="F35" s="7"/>
      <c r="G35" s="7"/>
      <c r="H35" s="7"/>
      <c r="I35" s="7"/>
      <c r="J35" s="5"/>
    </row>
    <row r="36" spans="2:10" s="4" customFormat="1" ht="11.25" hidden="1" customHeight="1" x14ac:dyDescent="0.25">
      <c r="B36" s="12"/>
      <c r="C36" s="5"/>
      <c r="D36" s="5"/>
      <c r="E36" s="5"/>
      <c r="F36" s="5"/>
      <c r="G36" s="5"/>
      <c r="H36" s="5"/>
      <c r="I36" s="5"/>
      <c r="J36" s="5"/>
    </row>
    <row r="37" spans="2:10" s="4" customFormat="1" ht="18.75" hidden="1" customHeight="1" x14ac:dyDescent="0.25">
      <c r="B37" s="13" t="s">
        <v>82</v>
      </c>
      <c r="C37" s="5"/>
      <c r="D37" s="5"/>
      <c r="E37" s="5"/>
      <c r="F37" s="5"/>
      <c r="G37" s="5"/>
      <c r="H37" s="5"/>
      <c r="I37" s="5"/>
      <c r="J37" s="5"/>
    </row>
    <row r="38" spans="2:10" s="4" customFormat="1" ht="20.25" hidden="1" customHeight="1" x14ac:dyDescent="0.25">
      <c r="B38" s="10" t="s">
        <v>83</v>
      </c>
      <c r="C38" s="14"/>
      <c r="D38" s="14"/>
      <c r="E38" s="14"/>
      <c r="F38" s="14"/>
      <c r="G38" s="29">
        <v>0.76190000000000002</v>
      </c>
      <c r="I38" s="31" t="s">
        <v>80</v>
      </c>
    </row>
    <row r="39" spans="2:10" ht="20.25" hidden="1" customHeight="1" x14ac:dyDescent="0.25">
      <c r="C39" s="14"/>
      <c r="D39" s="14"/>
      <c r="E39" s="14"/>
      <c r="F39" s="14"/>
      <c r="G39" s="30">
        <v>0.79159999999999997</v>
      </c>
      <c r="I39" s="31" t="s">
        <v>81</v>
      </c>
    </row>
    <row r="40" spans="2:10" ht="18.75" customHeight="1" x14ac:dyDescent="0.25"/>
    <row r="41" spans="2:10" ht="18.75" customHeight="1" x14ac:dyDescent="0.25"/>
    <row r="42" spans="2:10" ht="18.75" customHeight="1" x14ac:dyDescent="0.25"/>
    <row r="43" spans="2:10" ht="18.75" customHeight="1" x14ac:dyDescent="0.25"/>
    <row r="44" spans="2:10" ht="18.75" customHeight="1" x14ac:dyDescent="0.25"/>
    <row r="45" spans="2:10" ht="18.75" customHeight="1" x14ac:dyDescent="0.25"/>
    <row r="46" spans="2:10" ht="18.75" customHeight="1" x14ac:dyDescent="0.25"/>
    <row r="47" spans="2:10" ht="18.75" customHeight="1" x14ac:dyDescent="0.25"/>
    <row r="48" spans="2:1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R1"/>
  </mergeCells>
  <printOptions horizontalCentered="1"/>
  <pageMargins left="0.11811023622047245" right="0.11811023622047245" top="0.11811023622047245" bottom="0.1181102362204724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I129"/>
  <sheetViews>
    <sheetView zoomScale="115" zoomScaleNormal="115" workbookViewId="0">
      <selection activeCell="H30" sqref="H30"/>
    </sheetView>
  </sheetViews>
  <sheetFormatPr defaultRowHeight="15" x14ac:dyDescent="0.25"/>
  <cols>
    <col min="1" max="1" width="3.5703125" style="2" customWidth="1"/>
    <col min="2" max="2" width="29.5703125" style="2" customWidth="1"/>
    <col min="3" max="3" width="10.140625" style="40" customWidth="1"/>
    <col min="4" max="4" width="8.85546875" style="40" customWidth="1"/>
    <col min="5" max="5" width="13.140625" style="40" customWidth="1"/>
    <col min="6" max="6" width="10.7109375" style="40" customWidth="1"/>
    <col min="7" max="7" width="10.7109375" style="42" customWidth="1"/>
    <col min="8" max="8" width="14.140625" style="40" customWidth="1"/>
    <col min="9" max="9" width="15.5703125" style="2" hidden="1" customWidth="1"/>
    <col min="10" max="16384" width="9.140625" style="2"/>
  </cols>
  <sheetData>
    <row r="1" spans="1:9" s="1" customFormat="1" ht="60.75" customHeight="1" x14ac:dyDescent="0.25">
      <c r="A1" s="144" t="s">
        <v>164</v>
      </c>
      <c r="B1" s="144"/>
      <c r="C1" s="144"/>
      <c r="D1" s="144"/>
      <c r="E1" s="144"/>
      <c r="F1" s="144"/>
      <c r="G1" s="144"/>
      <c r="H1" s="144"/>
      <c r="I1" s="102"/>
    </row>
    <row r="2" spans="1:9" s="21" customFormat="1" ht="66.75" customHeight="1" x14ac:dyDescent="0.25">
      <c r="A2" s="85" t="s">
        <v>110</v>
      </c>
      <c r="B2" s="86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162</v>
      </c>
      <c r="I2" s="87" t="s">
        <v>139</v>
      </c>
    </row>
    <row r="3" spans="1:9" s="21" customFormat="1" ht="24.75" customHeight="1" x14ac:dyDescent="0.25">
      <c r="A3" s="60">
        <v>1</v>
      </c>
      <c r="B3" s="88" t="s">
        <v>84</v>
      </c>
      <c r="C3" s="59">
        <v>1050</v>
      </c>
      <c r="D3" s="59">
        <f>645+20</f>
        <v>665</v>
      </c>
      <c r="E3" s="59">
        <f>ROUND(D3*100/C3,1)</f>
        <v>63.3</v>
      </c>
      <c r="F3" s="60">
        <f>D3*0.4</f>
        <v>266</v>
      </c>
      <c r="G3" s="60">
        <v>270</v>
      </c>
      <c r="H3" s="83">
        <v>0</v>
      </c>
      <c r="I3" s="89" t="s">
        <v>128</v>
      </c>
    </row>
    <row r="4" spans="1:9" s="21" customFormat="1" ht="24.75" customHeight="1" x14ac:dyDescent="0.25">
      <c r="A4" s="60">
        <v>2</v>
      </c>
      <c r="B4" s="88" t="s">
        <v>85</v>
      </c>
      <c r="C4" s="60">
        <v>1125</v>
      </c>
      <c r="D4" s="60">
        <f>795+16</f>
        <v>811</v>
      </c>
      <c r="E4" s="59">
        <f>ROUND(D4*100/C4,1)</f>
        <v>72.099999999999994</v>
      </c>
      <c r="F4" s="60">
        <f>D4*0.4</f>
        <v>324.40000000000003</v>
      </c>
      <c r="G4" s="60">
        <v>270</v>
      </c>
      <c r="H4" s="83">
        <v>2</v>
      </c>
      <c r="I4" s="89" t="s">
        <v>129</v>
      </c>
    </row>
    <row r="5" spans="1:9" s="21" customFormat="1" ht="24.75" customHeight="1" x14ac:dyDescent="0.25">
      <c r="A5" s="60">
        <v>3</v>
      </c>
      <c r="B5" s="88" t="s">
        <v>86</v>
      </c>
      <c r="C5" s="60">
        <v>1095</v>
      </c>
      <c r="D5" s="60">
        <v>735</v>
      </c>
      <c r="E5" s="59">
        <f>ROUND(D5*100/C5,1)</f>
        <v>67.099999999999994</v>
      </c>
      <c r="F5" s="60">
        <f>D5*0.4</f>
        <v>294</v>
      </c>
      <c r="G5" s="60">
        <v>270</v>
      </c>
      <c r="H5" s="83">
        <v>1</v>
      </c>
      <c r="I5" s="89" t="s">
        <v>122</v>
      </c>
    </row>
    <row r="6" spans="1:9" s="21" customFormat="1" ht="24.75" customHeight="1" x14ac:dyDescent="0.25">
      <c r="A6" s="60">
        <v>4</v>
      </c>
      <c r="B6" s="88" t="s">
        <v>87</v>
      </c>
      <c r="C6" s="60"/>
      <c r="D6" s="60"/>
      <c r="E6" s="59"/>
      <c r="F6" s="60"/>
      <c r="G6" s="60"/>
      <c r="H6" s="83"/>
      <c r="I6" s="89"/>
    </row>
    <row r="7" spans="1:9" s="21" customFormat="1" ht="24.75" customHeight="1" x14ac:dyDescent="0.25">
      <c r="A7" s="60">
        <v>5</v>
      </c>
      <c r="B7" s="88" t="s">
        <v>88</v>
      </c>
      <c r="C7" s="60">
        <v>1125</v>
      </c>
      <c r="D7" s="60">
        <v>811</v>
      </c>
      <c r="E7" s="59">
        <f>ROUND(D7*100/C7,1)</f>
        <v>72.099999999999994</v>
      </c>
      <c r="F7" s="60">
        <f>D7*0.4</f>
        <v>324.40000000000003</v>
      </c>
      <c r="G7" s="60">
        <v>270</v>
      </c>
      <c r="H7" s="83">
        <v>2</v>
      </c>
      <c r="I7" s="89" t="s">
        <v>129</v>
      </c>
    </row>
    <row r="8" spans="1:9" s="21" customFormat="1" ht="24.75" customHeight="1" x14ac:dyDescent="0.25">
      <c r="A8" s="60">
        <v>6</v>
      </c>
      <c r="B8" s="88" t="s">
        <v>89</v>
      </c>
      <c r="C8" s="59"/>
      <c r="D8" s="59"/>
      <c r="E8" s="59"/>
      <c r="F8" s="60"/>
      <c r="G8" s="60"/>
      <c r="H8" s="83"/>
      <c r="I8" s="90"/>
    </row>
    <row r="9" spans="1:9" s="21" customFormat="1" ht="24.75" customHeight="1" x14ac:dyDescent="0.25">
      <c r="A9" s="60">
        <v>7</v>
      </c>
      <c r="B9" s="88" t="s">
        <v>90</v>
      </c>
      <c r="C9" s="60">
        <v>1065</v>
      </c>
      <c r="D9" s="60">
        <f>675+22</f>
        <v>697</v>
      </c>
      <c r="E9" s="59">
        <f>ROUND(D9*100/C9,1)</f>
        <v>65.400000000000006</v>
      </c>
      <c r="F9" s="60">
        <f>D9*0.4</f>
        <v>278.8</v>
      </c>
      <c r="G9" s="60">
        <v>270</v>
      </c>
      <c r="H9" s="83">
        <v>0</v>
      </c>
      <c r="I9" s="89" t="s">
        <v>34</v>
      </c>
    </row>
    <row r="10" spans="1:9" s="21" customFormat="1" ht="24.75" customHeight="1" x14ac:dyDescent="0.25">
      <c r="A10" s="60">
        <v>8</v>
      </c>
      <c r="B10" s="88" t="s">
        <v>91</v>
      </c>
      <c r="C10" s="60">
        <v>1110</v>
      </c>
      <c r="D10" s="60">
        <f>765+20</f>
        <v>785</v>
      </c>
      <c r="E10" s="59">
        <f>ROUND(D10*100/C10,1)</f>
        <v>70.7</v>
      </c>
      <c r="F10" s="60">
        <f>D10*0.4</f>
        <v>314</v>
      </c>
      <c r="G10" s="60">
        <v>270</v>
      </c>
      <c r="H10" s="83">
        <v>2</v>
      </c>
      <c r="I10" s="89" t="s">
        <v>122</v>
      </c>
    </row>
    <row r="11" spans="1:9" s="21" customFormat="1" ht="24.75" customHeight="1" x14ac:dyDescent="0.25">
      <c r="A11" s="60">
        <v>9</v>
      </c>
      <c r="B11" s="88" t="s">
        <v>116</v>
      </c>
      <c r="C11" s="60">
        <v>1080</v>
      </c>
      <c r="D11" s="60">
        <f>705+16</f>
        <v>721</v>
      </c>
      <c r="E11" s="59">
        <f>ROUND(D11*100/C11,1)</f>
        <v>66.8</v>
      </c>
      <c r="F11" s="60">
        <f>D11*0.4</f>
        <v>288.40000000000003</v>
      </c>
      <c r="G11" s="60">
        <v>270</v>
      </c>
      <c r="H11" s="83">
        <v>1</v>
      </c>
      <c r="I11" s="89" t="s">
        <v>122</v>
      </c>
    </row>
    <row r="12" spans="1:9" s="21" customFormat="1" ht="24.75" customHeight="1" x14ac:dyDescent="0.25">
      <c r="A12" s="60">
        <v>10</v>
      </c>
      <c r="B12" s="88" t="s">
        <v>92</v>
      </c>
      <c r="C12" s="60">
        <v>1110</v>
      </c>
      <c r="D12" s="60">
        <f>765+16</f>
        <v>781</v>
      </c>
      <c r="E12" s="59">
        <f>ROUND(D12*100/C12,1)</f>
        <v>70.400000000000006</v>
      </c>
      <c r="F12" s="60">
        <f>D12*0.4</f>
        <v>312.40000000000003</v>
      </c>
      <c r="G12" s="60">
        <v>270</v>
      </c>
      <c r="H12" s="83">
        <v>2</v>
      </c>
      <c r="I12" s="89" t="s">
        <v>35</v>
      </c>
    </row>
    <row r="13" spans="1:9" s="21" customFormat="1" ht="24.75" customHeight="1" x14ac:dyDescent="0.25">
      <c r="A13" s="60">
        <v>11</v>
      </c>
      <c r="B13" s="88" t="s">
        <v>93</v>
      </c>
      <c r="C13" s="60"/>
      <c r="D13" s="60"/>
      <c r="E13" s="59"/>
      <c r="F13" s="60"/>
      <c r="G13" s="60"/>
      <c r="H13" s="83"/>
      <c r="I13" s="90"/>
    </row>
    <row r="14" spans="1:9" s="21" customFormat="1" ht="24.75" customHeight="1" x14ac:dyDescent="0.25">
      <c r="A14" s="60">
        <v>12</v>
      </c>
      <c r="B14" s="88" t="s">
        <v>94</v>
      </c>
      <c r="C14" s="59"/>
      <c r="D14" s="59"/>
      <c r="E14" s="59"/>
      <c r="F14" s="60"/>
      <c r="G14" s="60"/>
      <c r="H14" s="83"/>
      <c r="I14" s="90"/>
    </row>
    <row r="15" spans="1:9" s="21" customFormat="1" ht="24.75" customHeight="1" x14ac:dyDescent="0.25">
      <c r="A15" s="60">
        <v>13</v>
      </c>
      <c r="B15" s="88" t="s">
        <v>95</v>
      </c>
      <c r="C15" s="60"/>
      <c r="D15" s="60"/>
      <c r="E15" s="59"/>
      <c r="F15" s="60"/>
      <c r="G15" s="60"/>
      <c r="H15" s="83"/>
      <c r="I15" s="90"/>
    </row>
    <row r="16" spans="1:9" s="21" customFormat="1" ht="24.75" customHeight="1" x14ac:dyDescent="0.25">
      <c r="A16" s="60">
        <v>14</v>
      </c>
      <c r="B16" s="88" t="s">
        <v>96</v>
      </c>
      <c r="C16" s="60">
        <v>1065</v>
      </c>
      <c r="D16" s="60">
        <f>675+16</f>
        <v>691</v>
      </c>
      <c r="E16" s="59">
        <f>ROUND(D16*100/C16,1)</f>
        <v>64.900000000000006</v>
      </c>
      <c r="F16" s="60">
        <f>D16*0.4</f>
        <v>276.40000000000003</v>
      </c>
      <c r="G16" s="60">
        <v>270</v>
      </c>
      <c r="H16" s="83">
        <v>1</v>
      </c>
      <c r="I16" s="89" t="s">
        <v>35</v>
      </c>
    </row>
    <row r="17" spans="1:9" s="21" customFormat="1" ht="24.75" customHeight="1" x14ac:dyDescent="0.25">
      <c r="A17" s="60">
        <v>15</v>
      </c>
      <c r="B17" s="88" t="s">
        <v>97</v>
      </c>
      <c r="C17" s="60"/>
      <c r="D17" s="60"/>
      <c r="E17" s="59"/>
      <c r="F17" s="60"/>
      <c r="G17" s="60"/>
      <c r="H17" s="83"/>
      <c r="I17" s="90"/>
    </row>
    <row r="18" spans="1:9" s="21" customFormat="1" ht="24.75" customHeight="1" x14ac:dyDescent="0.25">
      <c r="A18" s="60">
        <v>16</v>
      </c>
      <c r="B18" s="88" t="s">
        <v>98</v>
      </c>
      <c r="C18" s="60">
        <v>1140</v>
      </c>
      <c r="D18" s="60">
        <f>825+30</f>
        <v>855</v>
      </c>
      <c r="E18" s="59">
        <f t="shared" ref="E18:E29" si="0">ROUND(D18*100/C18,1)</f>
        <v>75</v>
      </c>
      <c r="F18" s="60">
        <f t="shared" ref="F18:F29" si="1">D18*0.4</f>
        <v>342</v>
      </c>
      <c r="G18" s="60">
        <v>270</v>
      </c>
      <c r="H18" s="83">
        <v>3</v>
      </c>
      <c r="I18" s="91" t="s">
        <v>133</v>
      </c>
    </row>
    <row r="19" spans="1:9" s="21" customFormat="1" ht="24.75" customHeight="1" x14ac:dyDescent="0.25">
      <c r="A19" s="60">
        <v>17</v>
      </c>
      <c r="B19" s="88" t="s">
        <v>130</v>
      </c>
      <c r="C19" s="59">
        <v>1140</v>
      </c>
      <c r="D19" s="59">
        <f>825+30</f>
        <v>855</v>
      </c>
      <c r="E19" s="59">
        <f t="shared" si="0"/>
        <v>75</v>
      </c>
      <c r="F19" s="60">
        <f t="shared" si="1"/>
        <v>342</v>
      </c>
      <c r="G19" s="60">
        <v>270</v>
      </c>
      <c r="H19" s="83">
        <v>3</v>
      </c>
      <c r="I19" s="91" t="s">
        <v>131</v>
      </c>
    </row>
    <row r="20" spans="1:9" s="21" customFormat="1" ht="24.75" customHeight="1" x14ac:dyDescent="0.25">
      <c r="A20" s="60">
        <v>18</v>
      </c>
      <c r="B20" s="88" t="s">
        <v>100</v>
      </c>
      <c r="C20" s="60">
        <v>1140</v>
      </c>
      <c r="D20" s="60">
        <f>825+30</f>
        <v>855</v>
      </c>
      <c r="E20" s="59">
        <f t="shared" si="0"/>
        <v>75</v>
      </c>
      <c r="F20" s="60">
        <f t="shared" si="1"/>
        <v>342</v>
      </c>
      <c r="G20" s="60">
        <v>270</v>
      </c>
      <c r="H20" s="83">
        <v>3</v>
      </c>
      <c r="I20" s="91" t="s">
        <v>118</v>
      </c>
    </row>
    <row r="21" spans="1:9" s="21" customFormat="1" ht="24.75" customHeight="1" x14ac:dyDescent="0.25">
      <c r="A21" s="60">
        <v>19</v>
      </c>
      <c r="B21" s="88" t="s">
        <v>101</v>
      </c>
      <c r="C21" s="60">
        <v>1140</v>
      </c>
      <c r="D21" s="60">
        <f>825+30</f>
        <v>855</v>
      </c>
      <c r="E21" s="59">
        <f t="shared" si="0"/>
        <v>75</v>
      </c>
      <c r="F21" s="60">
        <f t="shared" si="1"/>
        <v>342</v>
      </c>
      <c r="G21" s="60">
        <v>270</v>
      </c>
      <c r="H21" s="83">
        <v>3</v>
      </c>
      <c r="I21" s="91" t="s">
        <v>132</v>
      </c>
    </row>
    <row r="22" spans="1:9" s="21" customFormat="1" ht="24.75" customHeight="1" x14ac:dyDescent="0.25">
      <c r="A22" s="60">
        <v>20</v>
      </c>
      <c r="B22" s="88" t="s">
        <v>102</v>
      </c>
      <c r="C22" s="60">
        <v>1125</v>
      </c>
      <c r="D22" s="60">
        <v>817</v>
      </c>
      <c r="E22" s="59">
        <f t="shared" si="0"/>
        <v>72.599999999999994</v>
      </c>
      <c r="F22" s="60">
        <f t="shared" si="1"/>
        <v>326.8</v>
      </c>
      <c r="G22" s="60">
        <v>270</v>
      </c>
      <c r="H22" s="83">
        <v>2</v>
      </c>
      <c r="I22" s="91" t="s">
        <v>134</v>
      </c>
    </row>
    <row r="23" spans="1:9" s="21" customFormat="1" ht="24.75" customHeight="1" x14ac:dyDescent="0.25">
      <c r="A23" s="60">
        <v>21</v>
      </c>
      <c r="B23" s="88" t="s">
        <v>103</v>
      </c>
      <c r="C23" s="60">
        <v>1140</v>
      </c>
      <c r="D23" s="60">
        <v>851</v>
      </c>
      <c r="E23" s="59">
        <f t="shared" si="0"/>
        <v>74.599999999999994</v>
      </c>
      <c r="F23" s="60">
        <f t="shared" si="1"/>
        <v>340.40000000000003</v>
      </c>
      <c r="G23" s="60">
        <v>270</v>
      </c>
      <c r="H23" s="83">
        <v>3</v>
      </c>
      <c r="I23" s="91" t="s">
        <v>135</v>
      </c>
    </row>
    <row r="24" spans="1:9" s="21" customFormat="1" ht="24.75" customHeight="1" x14ac:dyDescent="0.25">
      <c r="A24" s="60">
        <v>22</v>
      </c>
      <c r="B24" s="88" t="s">
        <v>136</v>
      </c>
      <c r="C24" s="60">
        <v>1125</v>
      </c>
      <c r="D24" s="60">
        <v>819</v>
      </c>
      <c r="E24" s="59">
        <f t="shared" si="0"/>
        <v>72.8</v>
      </c>
      <c r="F24" s="60">
        <f t="shared" si="1"/>
        <v>327.60000000000002</v>
      </c>
      <c r="G24" s="60">
        <v>270</v>
      </c>
      <c r="H24" s="83">
        <v>2</v>
      </c>
      <c r="I24" s="91" t="s">
        <v>137</v>
      </c>
    </row>
    <row r="25" spans="1:9" s="21" customFormat="1" ht="24.75" customHeight="1" x14ac:dyDescent="0.25">
      <c r="A25" s="60">
        <v>23</v>
      </c>
      <c r="B25" s="88" t="s">
        <v>105</v>
      </c>
      <c r="C25" s="60">
        <v>1050</v>
      </c>
      <c r="D25" s="60">
        <f>630+22</f>
        <v>652</v>
      </c>
      <c r="E25" s="59">
        <f t="shared" si="0"/>
        <v>62.1</v>
      </c>
      <c r="F25" s="60">
        <f t="shared" si="1"/>
        <v>260.8</v>
      </c>
      <c r="G25" s="60">
        <v>270</v>
      </c>
      <c r="H25" s="83">
        <v>0</v>
      </c>
      <c r="I25" s="89" t="s">
        <v>48</v>
      </c>
    </row>
    <row r="26" spans="1:9" s="21" customFormat="1" ht="24.75" customHeight="1" x14ac:dyDescent="0.25">
      <c r="A26" s="60">
        <v>24</v>
      </c>
      <c r="B26" s="88" t="s">
        <v>106</v>
      </c>
      <c r="C26" s="59">
        <v>1080</v>
      </c>
      <c r="D26" s="59">
        <v>740</v>
      </c>
      <c r="E26" s="59">
        <f t="shared" si="0"/>
        <v>68.5</v>
      </c>
      <c r="F26" s="60">
        <f t="shared" si="1"/>
        <v>296</v>
      </c>
      <c r="G26" s="60">
        <v>270</v>
      </c>
      <c r="H26" s="83">
        <v>1</v>
      </c>
      <c r="I26" s="89" t="s">
        <v>138</v>
      </c>
    </row>
    <row r="27" spans="1:9" s="21" customFormat="1" ht="24.75" customHeight="1" x14ac:dyDescent="0.25">
      <c r="A27" s="60">
        <v>25</v>
      </c>
      <c r="B27" s="88" t="s">
        <v>107</v>
      </c>
      <c r="C27" s="59">
        <v>1050</v>
      </c>
      <c r="D27" s="59">
        <f>645+24</f>
        <v>669</v>
      </c>
      <c r="E27" s="59">
        <f t="shared" si="0"/>
        <v>63.7</v>
      </c>
      <c r="F27" s="60">
        <f t="shared" si="1"/>
        <v>267.60000000000002</v>
      </c>
      <c r="G27" s="60">
        <v>270</v>
      </c>
      <c r="H27" s="83">
        <v>0</v>
      </c>
      <c r="I27" s="89" t="s">
        <v>127</v>
      </c>
    </row>
    <row r="28" spans="1:9" s="21" customFormat="1" ht="24.75" customHeight="1" x14ac:dyDescent="0.25">
      <c r="A28" s="60">
        <v>26</v>
      </c>
      <c r="B28" s="88" t="s">
        <v>108</v>
      </c>
      <c r="C28" s="60">
        <v>1035</v>
      </c>
      <c r="D28" s="60">
        <f>615+22</f>
        <v>637</v>
      </c>
      <c r="E28" s="59">
        <f t="shared" si="0"/>
        <v>61.5</v>
      </c>
      <c r="F28" s="60">
        <f t="shared" si="1"/>
        <v>254.8</v>
      </c>
      <c r="G28" s="60">
        <v>270</v>
      </c>
      <c r="H28" s="83">
        <v>0</v>
      </c>
      <c r="I28" s="89" t="s">
        <v>35</v>
      </c>
    </row>
    <row r="29" spans="1:9" s="21" customFormat="1" ht="24.75" customHeight="1" x14ac:dyDescent="0.25">
      <c r="A29" s="60">
        <v>27</v>
      </c>
      <c r="B29" s="88" t="s">
        <v>109</v>
      </c>
      <c r="C29" s="60">
        <v>1140</v>
      </c>
      <c r="D29" s="60">
        <f>825+20</f>
        <v>845</v>
      </c>
      <c r="E29" s="59">
        <f t="shared" si="0"/>
        <v>74.099999999999994</v>
      </c>
      <c r="F29" s="60">
        <f t="shared" si="1"/>
        <v>338</v>
      </c>
      <c r="G29" s="60">
        <v>270</v>
      </c>
      <c r="H29" s="83">
        <v>3</v>
      </c>
      <c r="I29" s="89" t="s">
        <v>126</v>
      </c>
    </row>
    <row r="30" spans="1:9" s="21" customFormat="1" ht="24.75" customHeight="1" x14ac:dyDescent="0.25">
      <c r="A30" s="141" t="s">
        <v>65</v>
      </c>
      <c r="B30" s="141"/>
      <c r="C30" s="71" t="s">
        <v>165</v>
      </c>
      <c r="D30" s="48"/>
      <c r="E30" s="48"/>
      <c r="F30" s="63"/>
      <c r="G30" s="63"/>
      <c r="H30" s="65">
        <f>COUNT(H3:H29)</f>
        <v>21</v>
      </c>
      <c r="I30" s="56"/>
    </row>
    <row r="31" spans="1:9" s="4" customFormat="1" ht="18.75" hidden="1" customHeight="1" x14ac:dyDescent="0.25">
      <c r="B31" s="9"/>
      <c r="C31" s="34"/>
      <c r="D31" s="34"/>
      <c r="E31" s="34"/>
      <c r="F31" s="34"/>
      <c r="G31" s="34"/>
      <c r="H31" s="35"/>
      <c r="I31" s="25"/>
    </row>
    <row r="32" spans="1:9" s="4" customFormat="1" ht="18.75" hidden="1" customHeight="1" x14ac:dyDescent="0.25">
      <c r="B32" s="9"/>
      <c r="C32" s="36"/>
      <c r="D32" s="36"/>
      <c r="E32" s="36"/>
      <c r="F32" s="34"/>
      <c r="G32" s="34"/>
      <c r="H32" s="35"/>
      <c r="I32" s="6"/>
    </row>
    <row r="33" spans="2:9" s="4" customFormat="1" ht="18.75" hidden="1" customHeight="1" x14ac:dyDescent="0.25">
      <c r="B33" s="13" t="s">
        <v>76</v>
      </c>
      <c r="C33" s="34"/>
      <c r="D33" s="34"/>
      <c r="E33" s="34"/>
      <c r="F33" s="34"/>
      <c r="G33" s="34"/>
      <c r="H33" s="35"/>
      <c r="I33" s="6"/>
    </row>
    <row r="34" spans="2:9" s="4" customFormat="1" ht="18.75" hidden="1" customHeight="1" x14ac:dyDescent="0.25">
      <c r="B34" s="22" t="s">
        <v>74</v>
      </c>
      <c r="C34" s="36"/>
      <c r="D34" s="36"/>
      <c r="E34" s="36"/>
      <c r="F34" s="34"/>
      <c r="G34" s="34"/>
      <c r="H34" s="35"/>
      <c r="I34" s="6"/>
    </row>
    <row r="35" spans="2:9" s="4" customFormat="1" ht="18.75" hidden="1" customHeight="1" x14ac:dyDescent="0.25">
      <c r="B35" s="22" t="s">
        <v>75</v>
      </c>
      <c r="C35" s="45"/>
      <c r="D35" s="43" t="s">
        <v>66</v>
      </c>
      <c r="E35" s="44" t="s">
        <v>72</v>
      </c>
      <c r="F35" s="46"/>
      <c r="G35" s="46"/>
      <c r="H35" s="46"/>
      <c r="I35" s="7"/>
    </row>
    <row r="36" spans="2:9" s="4" customFormat="1" ht="11.25" hidden="1" customHeight="1" x14ac:dyDescent="0.25">
      <c r="B36" s="12"/>
      <c r="C36" s="37"/>
      <c r="D36" s="37"/>
      <c r="E36" s="37"/>
      <c r="F36" s="37"/>
      <c r="G36" s="37"/>
      <c r="H36" s="37"/>
      <c r="I36" s="5"/>
    </row>
    <row r="37" spans="2:9" s="4" customFormat="1" ht="18.75" hidden="1" customHeight="1" x14ac:dyDescent="0.25">
      <c r="B37" s="13" t="s">
        <v>82</v>
      </c>
      <c r="C37" s="37"/>
      <c r="D37" s="37"/>
      <c r="E37" s="37"/>
      <c r="F37" s="37"/>
      <c r="G37" s="37"/>
      <c r="H37" s="37"/>
      <c r="I37" s="5"/>
    </row>
    <row r="38" spans="2:9" s="4" customFormat="1" ht="20.25" hidden="1" customHeight="1" x14ac:dyDescent="0.25">
      <c r="B38" s="10" t="s">
        <v>83</v>
      </c>
      <c r="C38" s="38"/>
      <c r="D38" s="38"/>
      <c r="E38" s="38"/>
      <c r="F38" s="38"/>
      <c r="G38" s="39">
        <v>1</v>
      </c>
      <c r="H38" s="38"/>
      <c r="I38" s="31" t="s">
        <v>80</v>
      </c>
    </row>
    <row r="39" spans="2:9" ht="20.25" hidden="1" customHeight="1" x14ac:dyDescent="0.25">
      <c r="G39" s="41">
        <v>1</v>
      </c>
      <c r="I39" s="31" t="s">
        <v>81</v>
      </c>
    </row>
    <row r="40" spans="2:9" ht="18.75" customHeight="1" x14ac:dyDescent="0.25"/>
    <row r="41" spans="2:9" ht="18.75" customHeight="1" x14ac:dyDescent="0.25"/>
    <row r="42" spans="2:9" ht="18.75" customHeight="1" x14ac:dyDescent="0.25"/>
    <row r="43" spans="2:9" ht="18.75" customHeight="1" x14ac:dyDescent="0.25"/>
    <row r="44" spans="2:9" ht="18.75" customHeight="1" x14ac:dyDescent="0.25"/>
    <row r="45" spans="2:9" ht="18.75" customHeight="1" x14ac:dyDescent="0.25"/>
    <row r="46" spans="2:9" ht="18.75" customHeight="1" x14ac:dyDescent="0.25"/>
    <row r="47" spans="2:9" ht="18.75" customHeight="1" x14ac:dyDescent="0.25"/>
    <row r="48" spans="2:9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H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Q103"/>
  <sheetViews>
    <sheetView zoomScale="115" zoomScaleNormal="115" workbookViewId="0">
      <selection activeCell="H3" sqref="H3"/>
    </sheetView>
  </sheetViews>
  <sheetFormatPr defaultRowHeight="15" x14ac:dyDescent="0.25"/>
  <cols>
    <col min="1" max="1" width="3.5703125" style="2" customWidth="1"/>
    <col min="2" max="2" width="29.5703125" style="2" customWidth="1"/>
    <col min="3" max="3" width="10.140625" style="40" customWidth="1"/>
    <col min="4" max="4" width="8.85546875" style="40" customWidth="1"/>
    <col min="5" max="5" width="13.140625" style="40" customWidth="1"/>
    <col min="6" max="6" width="10.7109375" style="40" customWidth="1"/>
    <col min="7" max="7" width="10.7109375" style="42" customWidth="1"/>
    <col min="8" max="8" width="14.140625" style="40" customWidth="1"/>
    <col min="9" max="9" width="15.5703125" style="2" hidden="1" customWidth="1"/>
    <col min="10" max="16384" width="9.140625" style="2"/>
  </cols>
  <sheetData>
    <row r="1" spans="1:9" s="1" customFormat="1" ht="60.75" customHeight="1" x14ac:dyDescent="0.25">
      <c r="A1" s="144" t="s">
        <v>168</v>
      </c>
      <c r="B1" s="144"/>
      <c r="C1" s="144"/>
      <c r="D1" s="144"/>
      <c r="E1" s="144"/>
      <c r="F1" s="144"/>
      <c r="G1" s="144"/>
      <c r="H1" s="144"/>
      <c r="I1" s="102"/>
    </row>
    <row r="2" spans="1:9" s="21" customFormat="1" ht="66.75" customHeight="1" x14ac:dyDescent="0.25">
      <c r="A2" s="85" t="s">
        <v>110</v>
      </c>
      <c r="B2" s="86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162</v>
      </c>
      <c r="I2" s="87" t="s">
        <v>139</v>
      </c>
    </row>
    <row r="3" spans="1:9" s="21" customFormat="1" ht="24.75" customHeight="1" x14ac:dyDescent="0.25">
      <c r="A3" s="60">
        <v>1</v>
      </c>
      <c r="B3" s="88" t="s">
        <v>96</v>
      </c>
      <c r="C3" s="60">
        <v>960</v>
      </c>
      <c r="D3" s="60">
        <v>698</v>
      </c>
      <c r="E3" s="59">
        <f>ROUND(D3*100/C3,1)</f>
        <v>72.7</v>
      </c>
      <c r="F3" s="60">
        <f>D3*0.4</f>
        <v>279.2</v>
      </c>
      <c r="G3" s="60">
        <v>270</v>
      </c>
      <c r="H3" s="83">
        <f t="shared" ref="H3" si="0">ROUND((F3-G3)/30,0)</f>
        <v>0</v>
      </c>
      <c r="I3" s="89"/>
    </row>
    <row r="4" spans="1:9" s="21" customFormat="1" ht="24.75" customHeight="1" x14ac:dyDescent="0.25">
      <c r="A4" s="141" t="s">
        <v>65</v>
      </c>
      <c r="B4" s="141"/>
      <c r="C4" s="71" t="s">
        <v>166</v>
      </c>
      <c r="D4" s="48"/>
      <c r="E4" s="48"/>
      <c r="F4" s="63"/>
      <c r="G4" s="63"/>
      <c r="H4" s="65">
        <f>COUNT(H3:H3)</f>
        <v>1</v>
      </c>
      <c r="I4" s="56"/>
    </row>
    <row r="5" spans="1:9" s="4" customFormat="1" ht="18.75" hidden="1" customHeight="1" x14ac:dyDescent="0.25">
      <c r="B5" s="9"/>
      <c r="C5" s="34"/>
      <c r="D5" s="34"/>
      <c r="E5" s="34"/>
      <c r="F5" s="34"/>
      <c r="G5" s="34"/>
      <c r="H5" s="35"/>
      <c r="I5" s="25"/>
    </row>
    <row r="6" spans="1:9" s="4" customFormat="1" ht="18.75" hidden="1" customHeight="1" x14ac:dyDescent="0.25">
      <c r="B6" s="9"/>
      <c r="C6" s="36"/>
      <c r="D6" s="36"/>
      <c r="E6" s="36"/>
      <c r="F6" s="34"/>
      <c r="G6" s="34"/>
      <c r="H6" s="35"/>
      <c r="I6" s="6"/>
    </row>
    <row r="7" spans="1:9" s="4" customFormat="1" ht="18.75" hidden="1" customHeight="1" x14ac:dyDescent="0.25">
      <c r="B7" s="13" t="s">
        <v>76</v>
      </c>
      <c r="C7" s="34"/>
      <c r="D7" s="34"/>
      <c r="E7" s="34"/>
      <c r="F7" s="34"/>
      <c r="G7" s="34"/>
      <c r="H7" s="35"/>
      <c r="I7" s="6"/>
    </row>
    <row r="8" spans="1:9" s="4" customFormat="1" ht="18.75" hidden="1" customHeight="1" x14ac:dyDescent="0.25">
      <c r="B8" s="22" t="s">
        <v>74</v>
      </c>
      <c r="C8" s="36"/>
      <c r="D8" s="36"/>
      <c r="E8" s="36"/>
      <c r="F8" s="34"/>
      <c r="G8" s="34"/>
      <c r="H8" s="35"/>
      <c r="I8" s="6"/>
    </row>
    <row r="9" spans="1:9" s="4" customFormat="1" ht="18.75" hidden="1" customHeight="1" x14ac:dyDescent="0.25">
      <c r="B9" s="22" t="s">
        <v>75</v>
      </c>
      <c r="C9" s="45"/>
      <c r="D9" s="43" t="s">
        <v>66</v>
      </c>
      <c r="E9" s="44" t="s">
        <v>72</v>
      </c>
      <c r="F9" s="46"/>
      <c r="G9" s="46"/>
      <c r="H9" s="46"/>
      <c r="I9" s="7"/>
    </row>
    <row r="10" spans="1:9" s="4" customFormat="1" ht="11.25" hidden="1" customHeight="1" x14ac:dyDescent="0.25">
      <c r="B10" s="12"/>
      <c r="C10" s="37"/>
      <c r="D10" s="37"/>
      <c r="E10" s="37"/>
      <c r="F10" s="37"/>
      <c r="G10" s="37"/>
      <c r="H10" s="37"/>
      <c r="I10" s="5"/>
    </row>
    <row r="11" spans="1:9" s="4" customFormat="1" ht="18.75" hidden="1" customHeight="1" x14ac:dyDescent="0.25">
      <c r="B11" s="13" t="s">
        <v>82</v>
      </c>
      <c r="C11" s="37"/>
      <c r="D11" s="37"/>
      <c r="E11" s="37"/>
      <c r="F11" s="37"/>
      <c r="G11" s="37"/>
      <c r="H11" s="37"/>
      <c r="I11" s="5"/>
    </row>
    <row r="12" spans="1:9" s="4" customFormat="1" ht="20.25" hidden="1" customHeight="1" x14ac:dyDescent="0.25">
      <c r="B12" s="10" t="s">
        <v>83</v>
      </c>
      <c r="C12" s="38"/>
      <c r="D12" s="38"/>
      <c r="E12" s="38"/>
      <c r="F12" s="38"/>
      <c r="G12" s="39">
        <v>1</v>
      </c>
      <c r="H12" s="38"/>
      <c r="I12" s="31" t="s">
        <v>80</v>
      </c>
    </row>
    <row r="13" spans="1:9" ht="20.25" hidden="1" customHeight="1" x14ac:dyDescent="0.25">
      <c r="G13" s="41">
        <v>1</v>
      </c>
      <c r="I13" s="31" t="s">
        <v>81</v>
      </c>
    </row>
    <row r="14" spans="1:9" ht="18.75" customHeight="1" x14ac:dyDescent="0.25"/>
    <row r="15" spans="1:9" ht="18.75" customHeight="1" x14ac:dyDescent="0.25"/>
    <row r="16" spans="1:9" ht="18.75" customHeight="1" x14ac:dyDescent="0.25"/>
    <row r="17" spans="3:17" ht="18.75" hidden="1" customHeight="1" x14ac:dyDescent="0.25">
      <c r="C17" s="2" t="s">
        <v>167</v>
      </c>
      <c r="D17" s="2">
        <v>821</v>
      </c>
      <c r="E17" s="2">
        <v>1275</v>
      </c>
      <c r="F17" s="2">
        <f t="shared" ref="F17" si="1">ROUND(D17*100/E17,1)</f>
        <v>64.400000000000006</v>
      </c>
      <c r="G17" s="49">
        <f t="shared" ref="G17" si="2">D17*0.4</f>
        <v>328.40000000000003</v>
      </c>
      <c r="H17" s="3">
        <v>270</v>
      </c>
      <c r="I17" s="2">
        <f t="shared" ref="I17" si="3">ROUND((G17-H17)/30,0)</f>
        <v>2</v>
      </c>
      <c r="L17" s="40">
        <v>698</v>
      </c>
      <c r="M17" s="40">
        <v>960</v>
      </c>
      <c r="N17" s="40">
        <f t="shared" ref="N17" si="4">ROUND(L17*100/M17,1)</f>
        <v>72.7</v>
      </c>
      <c r="O17" s="40">
        <f t="shared" ref="O17" si="5">L17*0.4</f>
        <v>279.2</v>
      </c>
      <c r="P17" s="42">
        <v>270</v>
      </c>
      <c r="Q17" s="40">
        <f t="shared" ref="Q17" si="6">ROUND((O17-P17)/30,0)</f>
        <v>0</v>
      </c>
    </row>
    <row r="18" spans="3:17" ht="18.75" customHeight="1" x14ac:dyDescent="0.25"/>
    <row r="19" spans="3:17" ht="18.75" customHeight="1" x14ac:dyDescent="0.25"/>
    <row r="20" spans="3:17" ht="18.75" customHeight="1" x14ac:dyDescent="0.25"/>
    <row r="21" spans="3:17" ht="18.75" customHeight="1" x14ac:dyDescent="0.25"/>
    <row r="22" spans="3:17" ht="18.75" customHeight="1" x14ac:dyDescent="0.25"/>
    <row r="23" spans="3:17" ht="18.75" customHeight="1" x14ac:dyDescent="0.25"/>
    <row r="24" spans="3:17" ht="18.75" customHeight="1" x14ac:dyDescent="0.25"/>
    <row r="25" spans="3:17" ht="18.75" customHeight="1" x14ac:dyDescent="0.25"/>
    <row r="26" spans="3:17" ht="18.75" customHeight="1" x14ac:dyDescent="0.25"/>
    <row r="27" spans="3:17" ht="18.75" customHeight="1" x14ac:dyDescent="0.25"/>
    <row r="28" spans="3:17" ht="18.75" customHeight="1" x14ac:dyDescent="0.25"/>
    <row r="29" spans="3:17" ht="18.75" customHeight="1" x14ac:dyDescent="0.25"/>
    <row r="30" spans="3:17" ht="18.75" customHeight="1" x14ac:dyDescent="0.25"/>
    <row r="31" spans="3:17" ht="18.75" customHeight="1" x14ac:dyDescent="0.25"/>
    <row r="32" spans="3:17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</sheetData>
  <mergeCells count="2">
    <mergeCell ref="A1:H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03"/>
  <sheetViews>
    <sheetView zoomScale="115" zoomScaleNormal="115" workbookViewId="0">
      <selection activeCell="E3" sqref="E3"/>
    </sheetView>
  </sheetViews>
  <sheetFormatPr defaultRowHeight="15" x14ac:dyDescent="0.25"/>
  <cols>
    <col min="1" max="1" width="3.5703125" style="2" customWidth="1"/>
    <col min="2" max="2" width="16" style="2" customWidth="1"/>
    <col min="3" max="3" width="9.42578125" style="40" customWidth="1"/>
    <col min="4" max="4" width="8.85546875" style="40" customWidth="1"/>
    <col min="5" max="5" width="11.42578125" style="40" customWidth="1"/>
    <col min="6" max="6" width="9.7109375" style="40" customWidth="1"/>
    <col min="7" max="7" width="8.5703125" style="42" customWidth="1"/>
    <col min="8" max="8" width="9.140625" style="40" customWidth="1"/>
    <col min="9" max="9" width="15.5703125" style="2" hidden="1" customWidth="1"/>
    <col min="10" max="10" width="2.42578125" style="2" customWidth="1"/>
    <col min="11" max="12" width="9.140625" style="2"/>
    <col min="13" max="13" width="10.5703125" style="2" customWidth="1"/>
    <col min="14" max="14" width="9.140625" style="2"/>
    <col min="15" max="15" width="8.7109375" style="2" customWidth="1"/>
    <col min="16" max="16384" width="9.140625" style="2"/>
  </cols>
  <sheetData>
    <row r="1" spans="1:17" s="1" customFormat="1" ht="60.75" customHeight="1" x14ac:dyDescent="0.25">
      <c r="A1" s="142" t="s">
        <v>168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</row>
    <row r="2" spans="1:17" s="21" customFormat="1" ht="66.75" customHeight="1" x14ac:dyDescent="0.25">
      <c r="A2" s="85" t="s">
        <v>110</v>
      </c>
      <c r="B2" s="86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31</v>
      </c>
      <c r="I2" s="137" t="s">
        <v>139</v>
      </c>
      <c r="J2" s="126"/>
      <c r="K2" s="123" t="s">
        <v>157</v>
      </c>
      <c r="L2" s="19" t="s">
        <v>158</v>
      </c>
      <c r="M2" s="19" t="s">
        <v>159</v>
      </c>
      <c r="N2" s="20" t="s">
        <v>160</v>
      </c>
      <c r="O2" s="20" t="s">
        <v>161</v>
      </c>
      <c r="P2" s="72" t="s">
        <v>31</v>
      </c>
      <c r="Q2" s="136" t="s">
        <v>177</v>
      </c>
    </row>
    <row r="3" spans="1:17" s="21" customFormat="1" ht="24.75" customHeight="1" x14ac:dyDescent="0.25">
      <c r="A3" s="60">
        <v>1</v>
      </c>
      <c r="B3" s="88" t="s">
        <v>96</v>
      </c>
      <c r="C3" s="60">
        <v>1275</v>
      </c>
      <c r="D3" s="60">
        <v>821</v>
      </c>
      <c r="E3" s="59">
        <f>ROUND(D3*100/C3,1)</f>
        <v>64.400000000000006</v>
      </c>
      <c r="F3" s="60">
        <f>D3*0.4</f>
        <v>328.40000000000003</v>
      </c>
      <c r="G3" s="60">
        <v>270</v>
      </c>
      <c r="H3" s="83">
        <f t="shared" ref="H3" si="0">ROUND((F3-G3)/30,0)</f>
        <v>2</v>
      </c>
      <c r="I3" s="138"/>
      <c r="J3" s="126"/>
      <c r="K3" s="139">
        <v>1275</v>
      </c>
      <c r="L3" s="60">
        <f>821+90</f>
        <v>911</v>
      </c>
      <c r="M3" s="59">
        <f>ROUND(L3*100/K3,1)</f>
        <v>71.5</v>
      </c>
      <c r="N3" s="60">
        <f>L3*0.4</f>
        <v>364.40000000000003</v>
      </c>
      <c r="O3" s="60">
        <v>270</v>
      </c>
      <c r="P3" s="83">
        <v>4</v>
      </c>
      <c r="Q3" s="108">
        <f>P3-'3.1-khoa2018-T2'!H3</f>
        <v>4</v>
      </c>
    </row>
    <row r="4" spans="1:17" s="21" customFormat="1" ht="24.75" customHeight="1" x14ac:dyDescent="0.25">
      <c r="A4" s="141" t="s">
        <v>65</v>
      </c>
      <c r="B4" s="141"/>
      <c r="C4" s="71" t="s">
        <v>166</v>
      </c>
      <c r="D4" s="48"/>
      <c r="E4" s="48"/>
      <c r="F4" s="63"/>
      <c r="G4" s="63"/>
      <c r="H4" s="65">
        <f>COUNT(H3:H3)</f>
        <v>1</v>
      </c>
      <c r="I4" s="127"/>
      <c r="J4" s="126"/>
      <c r="K4" s="140" t="s">
        <v>166</v>
      </c>
      <c r="L4" s="48"/>
      <c r="M4" s="48"/>
      <c r="N4" s="63"/>
      <c r="O4" s="63"/>
      <c r="P4" s="65"/>
      <c r="Q4" s="48"/>
    </row>
    <row r="5" spans="1:17" s="4" customFormat="1" ht="18.75" hidden="1" customHeight="1" x14ac:dyDescent="0.25">
      <c r="B5" s="9"/>
      <c r="C5" s="34"/>
      <c r="D5" s="34"/>
      <c r="E5" s="34"/>
      <c r="F5" s="34"/>
      <c r="G5" s="34"/>
      <c r="H5" s="35"/>
      <c r="I5" s="25"/>
    </row>
    <row r="6" spans="1:17" s="4" customFormat="1" ht="18.75" hidden="1" customHeight="1" x14ac:dyDescent="0.25">
      <c r="B6" s="9"/>
      <c r="C6" s="36"/>
      <c r="D6" s="36"/>
      <c r="E6" s="36"/>
      <c r="F6" s="34"/>
      <c r="G6" s="34"/>
      <c r="H6" s="35"/>
      <c r="I6" s="6"/>
    </row>
    <row r="7" spans="1:17" s="4" customFormat="1" ht="18.75" hidden="1" customHeight="1" x14ac:dyDescent="0.25">
      <c r="B7" s="13" t="s">
        <v>76</v>
      </c>
      <c r="C7" s="34"/>
      <c r="D7" s="34"/>
      <c r="E7" s="34"/>
      <c r="F7" s="34"/>
      <c r="G7" s="34"/>
      <c r="H7" s="35"/>
      <c r="I7" s="6"/>
    </row>
    <row r="8" spans="1:17" s="4" customFormat="1" ht="18.75" hidden="1" customHeight="1" x14ac:dyDescent="0.25">
      <c r="B8" s="22" t="s">
        <v>74</v>
      </c>
      <c r="C8" s="36"/>
      <c r="D8" s="36"/>
      <c r="E8" s="36"/>
      <c r="F8" s="34"/>
      <c r="G8" s="34"/>
      <c r="H8" s="35"/>
      <c r="I8" s="6"/>
    </row>
    <row r="9" spans="1:17" s="4" customFormat="1" ht="18.75" hidden="1" customHeight="1" x14ac:dyDescent="0.25">
      <c r="B9" s="22" t="s">
        <v>75</v>
      </c>
      <c r="C9" s="45"/>
      <c r="D9" s="43" t="s">
        <v>66</v>
      </c>
      <c r="E9" s="44" t="s">
        <v>72</v>
      </c>
      <c r="F9" s="46"/>
      <c r="G9" s="46"/>
      <c r="H9" s="46"/>
      <c r="I9" s="7"/>
    </row>
    <row r="10" spans="1:17" s="4" customFormat="1" ht="11.25" hidden="1" customHeight="1" x14ac:dyDescent="0.25">
      <c r="B10" s="12"/>
      <c r="C10" s="37"/>
      <c r="D10" s="37"/>
      <c r="E10" s="37"/>
      <c r="F10" s="37"/>
      <c r="G10" s="37"/>
      <c r="H10" s="37"/>
      <c r="I10" s="5"/>
    </row>
    <row r="11" spans="1:17" s="4" customFormat="1" ht="18.75" hidden="1" customHeight="1" x14ac:dyDescent="0.25">
      <c r="B11" s="13" t="s">
        <v>82</v>
      </c>
      <c r="C11" s="37"/>
      <c r="D11" s="37"/>
      <c r="E11" s="37"/>
      <c r="F11" s="37"/>
      <c r="G11" s="37"/>
      <c r="H11" s="37"/>
      <c r="I11" s="5"/>
    </row>
    <row r="12" spans="1:17" s="4" customFormat="1" ht="20.25" hidden="1" customHeight="1" x14ac:dyDescent="0.25">
      <c r="B12" s="10" t="s">
        <v>83</v>
      </c>
      <c r="C12" s="38"/>
      <c r="D12" s="38"/>
      <c r="E12" s="38"/>
      <c r="F12" s="38"/>
      <c r="G12" s="39">
        <v>1</v>
      </c>
      <c r="H12" s="38"/>
      <c r="I12" s="31" t="s">
        <v>80</v>
      </c>
    </row>
    <row r="13" spans="1:17" ht="20.25" hidden="1" customHeight="1" x14ac:dyDescent="0.25">
      <c r="G13" s="41">
        <v>1</v>
      </c>
      <c r="I13" s="31" t="s">
        <v>81</v>
      </c>
    </row>
    <row r="14" spans="1:17" ht="18.75" customHeight="1" x14ac:dyDescent="0.25"/>
    <row r="15" spans="1:17" ht="18.75" customHeight="1" x14ac:dyDescent="0.25"/>
    <row r="16" spans="1:17" ht="18.75" customHeight="1" x14ac:dyDescent="0.25"/>
    <row r="17" spans="3:17" ht="18.75" hidden="1" customHeight="1" x14ac:dyDescent="0.25">
      <c r="C17" s="2" t="s">
        <v>167</v>
      </c>
      <c r="D17" s="2">
        <v>821</v>
      </c>
      <c r="E17" s="2">
        <v>1275</v>
      </c>
      <c r="F17" s="2">
        <f t="shared" ref="F17" si="1">ROUND(D17*100/E17,1)</f>
        <v>64.400000000000006</v>
      </c>
      <c r="G17" s="49">
        <f t="shared" ref="G17" si="2">D17*0.4</f>
        <v>328.40000000000003</v>
      </c>
      <c r="H17" s="3">
        <v>270</v>
      </c>
      <c r="I17" s="2">
        <f t="shared" ref="I17" si="3">ROUND((G17-H17)/30,0)</f>
        <v>2</v>
      </c>
      <c r="L17" s="40">
        <v>698</v>
      </c>
      <c r="M17" s="40">
        <v>960</v>
      </c>
      <c r="N17" s="40">
        <f t="shared" ref="N17" si="4">ROUND(L17*100/M17,1)</f>
        <v>72.7</v>
      </c>
      <c r="O17" s="40">
        <f t="shared" ref="O17" si="5">L17*0.4</f>
        <v>279.2</v>
      </c>
      <c r="P17" s="42">
        <v>270</v>
      </c>
      <c r="Q17" s="40">
        <f t="shared" ref="Q17" si="6">ROUND((O17-P17)/30,0)</f>
        <v>0</v>
      </c>
    </row>
    <row r="18" spans="3:17" ht="18.75" customHeight="1" x14ac:dyDescent="0.25"/>
    <row r="19" spans="3:17" ht="18.75" customHeight="1" x14ac:dyDescent="0.25"/>
    <row r="20" spans="3:17" ht="18.75" customHeight="1" x14ac:dyDescent="0.25"/>
    <row r="21" spans="3:17" ht="18.75" customHeight="1" x14ac:dyDescent="0.25"/>
    <row r="22" spans="3:17" ht="18.75" customHeight="1" x14ac:dyDescent="0.25"/>
    <row r="23" spans="3:17" ht="18.75" customHeight="1" x14ac:dyDescent="0.25"/>
    <row r="24" spans="3:17" ht="18.75" customHeight="1" x14ac:dyDescent="0.25"/>
    <row r="25" spans="3:17" ht="18.75" customHeight="1" x14ac:dyDescent="0.25"/>
    <row r="26" spans="3:17" ht="18.75" customHeight="1" x14ac:dyDescent="0.25"/>
    <row r="27" spans="3:17" ht="18.75" customHeight="1" x14ac:dyDescent="0.25"/>
    <row r="28" spans="3:17" ht="18.75" customHeight="1" x14ac:dyDescent="0.25"/>
    <row r="29" spans="3:17" ht="18.75" customHeight="1" x14ac:dyDescent="0.25"/>
    <row r="30" spans="3:17" ht="18.75" customHeight="1" x14ac:dyDescent="0.25"/>
    <row r="31" spans="3:17" ht="18.75" customHeight="1" x14ac:dyDescent="0.25"/>
    <row r="32" spans="3:17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</sheetData>
  <mergeCells count="2">
    <mergeCell ref="A4:B4"/>
    <mergeCell ref="A1:Q1"/>
  </mergeCells>
  <printOptions horizontalCentered="1"/>
  <pageMargins left="0.11811023622047245" right="0.11811023622047245" top="0.11811023622047245" bottom="0.11811023622047245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29"/>
  <sheetViews>
    <sheetView zoomScale="115" zoomScaleNormal="115" workbookViewId="0">
      <selection activeCell="N2" sqref="N2:N30"/>
    </sheetView>
  </sheetViews>
  <sheetFormatPr defaultRowHeight="15" x14ac:dyDescent="0.25"/>
  <cols>
    <col min="1" max="1" width="4.5703125" style="2" customWidth="1"/>
    <col min="2" max="2" width="29.28515625" style="2" customWidth="1"/>
    <col min="3" max="7" width="9.85546875" style="2" hidden="1" customWidth="1"/>
    <col min="8" max="8" width="10.42578125" style="2" hidden="1" customWidth="1"/>
    <col min="9" max="9" width="22.5703125" style="3" hidden="1" customWidth="1"/>
    <col min="10" max="10" width="14.5703125" style="3" hidden="1" customWidth="1"/>
    <col min="11" max="11" width="16" style="3" customWidth="1"/>
    <col min="12" max="12" width="20.28515625" style="3" customWidth="1"/>
    <col min="13" max="13" width="11.42578125" style="2" hidden="1" customWidth="1"/>
    <col min="14" max="14" width="29.42578125" style="2" customWidth="1"/>
    <col min="15" max="16384" width="9.140625" style="2"/>
  </cols>
  <sheetData>
    <row r="1" spans="1:14" s="1" customFormat="1" ht="45.75" customHeight="1" x14ac:dyDescent="0.25">
      <c r="A1" s="144" t="s">
        <v>153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4" s="21" customFormat="1" ht="57" customHeight="1" x14ac:dyDescent="0.25">
      <c r="A2" s="99" t="s">
        <v>110</v>
      </c>
      <c r="B2" s="19" t="s">
        <v>27</v>
      </c>
      <c r="C2" s="19" t="s">
        <v>111</v>
      </c>
      <c r="D2" s="19" t="s">
        <v>28</v>
      </c>
      <c r="E2" s="19" t="s">
        <v>112</v>
      </c>
      <c r="F2" s="20" t="s">
        <v>29</v>
      </c>
      <c r="G2" s="20" t="s">
        <v>30</v>
      </c>
      <c r="H2" s="72" t="s">
        <v>31</v>
      </c>
      <c r="I2" s="75" t="s">
        <v>147</v>
      </c>
      <c r="J2" s="19" t="s">
        <v>148</v>
      </c>
      <c r="K2" s="19" t="s">
        <v>150</v>
      </c>
      <c r="L2" s="19" t="s">
        <v>151</v>
      </c>
      <c r="M2" s="19" t="s">
        <v>145</v>
      </c>
      <c r="N2" s="111" t="s">
        <v>152</v>
      </c>
    </row>
    <row r="3" spans="1:14" s="21" customFormat="1" ht="26.25" customHeight="1" x14ac:dyDescent="0.25">
      <c r="A3" s="49">
        <v>1</v>
      </c>
      <c r="B3" s="51" t="s">
        <v>84</v>
      </c>
      <c r="C3" s="56">
        <f>780+38</f>
        <v>818</v>
      </c>
      <c r="D3" s="56">
        <v>1395</v>
      </c>
      <c r="E3" s="52">
        <f>ROUND(C3*100/D3,1)</f>
        <v>58.6</v>
      </c>
      <c r="F3" s="49">
        <f t="shared" ref="F3:F29" si="0">C3*0.4</f>
        <v>327.20000000000005</v>
      </c>
      <c r="G3" s="49">
        <v>270</v>
      </c>
      <c r="H3" s="73">
        <f>ROUND((F3-G3)/30,0)</f>
        <v>2</v>
      </c>
      <c r="I3" s="76" t="s">
        <v>124</v>
      </c>
      <c r="J3" s="49">
        <v>9</v>
      </c>
      <c r="K3" s="49">
        <v>10</v>
      </c>
      <c r="L3" s="49">
        <f>K3*0.3</f>
        <v>3</v>
      </c>
      <c r="M3" s="92">
        <f>VALUE((L3/K3)*100)</f>
        <v>30</v>
      </c>
      <c r="N3" s="110">
        <v>2</v>
      </c>
    </row>
    <row r="4" spans="1:14" s="21" customFormat="1" ht="26.25" customHeight="1" x14ac:dyDescent="0.25">
      <c r="A4" s="49">
        <v>2</v>
      </c>
      <c r="B4" s="51" t="s">
        <v>85</v>
      </c>
      <c r="C4" s="49">
        <f>1020+30</f>
        <v>1050</v>
      </c>
      <c r="D4" s="49">
        <v>1515</v>
      </c>
      <c r="E4" s="49">
        <f t="shared" ref="E4:E29" si="1">ROUND(C4*100/D4,1)</f>
        <v>69.3</v>
      </c>
      <c r="F4" s="49">
        <f t="shared" si="0"/>
        <v>420</v>
      </c>
      <c r="G4" s="49">
        <v>270</v>
      </c>
      <c r="H4" s="73">
        <f t="shared" ref="H4:H29" si="2">ROUND((F4-G4)/30,0)</f>
        <v>5</v>
      </c>
      <c r="I4" s="76" t="s">
        <v>37</v>
      </c>
      <c r="J4" s="49">
        <v>12</v>
      </c>
      <c r="K4" s="49">
        <v>13</v>
      </c>
      <c r="L4" s="49">
        <v>4</v>
      </c>
      <c r="M4" s="92">
        <f t="shared" ref="M4:M29" si="3">VALUE((L4/K4)*100)</f>
        <v>30.76923076923077</v>
      </c>
      <c r="N4" s="110">
        <v>3</v>
      </c>
    </row>
    <row r="5" spans="1:14" s="21" customFormat="1" ht="26.25" customHeight="1" x14ac:dyDescent="0.25">
      <c r="A5" s="49">
        <v>3</v>
      </c>
      <c r="B5" s="51" t="s">
        <v>86</v>
      </c>
      <c r="C5" s="56">
        <f>1020+30</f>
        <v>1050</v>
      </c>
      <c r="D5" s="56">
        <v>1515</v>
      </c>
      <c r="E5" s="49">
        <f t="shared" si="1"/>
        <v>69.3</v>
      </c>
      <c r="F5" s="49">
        <f t="shared" si="0"/>
        <v>420</v>
      </c>
      <c r="G5" s="49">
        <v>270</v>
      </c>
      <c r="H5" s="73">
        <f t="shared" si="2"/>
        <v>5</v>
      </c>
      <c r="I5" s="76" t="s">
        <v>37</v>
      </c>
      <c r="J5" s="49">
        <v>12</v>
      </c>
      <c r="K5" s="49">
        <v>13</v>
      </c>
      <c r="L5" s="49">
        <v>4</v>
      </c>
      <c r="M5" s="92">
        <f t="shared" si="3"/>
        <v>30.76923076923077</v>
      </c>
      <c r="N5" s="110">
        <v>3</v>
      </c>
    </row>
    <row r="6" spans="1:14" s="21" customFormat="1" ht="26.25" customHeight="1" x14ac:dyDescent="0.25">
      <c r="A6" s="49">
        <v>4</v>
      </c>
      <c r="B6" s="51" t="s">
        <v>87</v>
      </c>
      <c r="C6" s="49">
        <f>1020+30</f>
        <v>1050</v>
      </c>
      <c r="D6" s="49">
        <v>1515</v>
      </c>
      <c r="E6" s="49">
        <f t="shared" si="1"/>
        <v>69.3</v>
      </c>
      <c r="F6" s="49">
        <f t="shared" si="0"/>
        <v>420</v>
      </c>
      <c r="G6" s="49">
        <v>270</v>
      </c>
      <c r="H6" s="73">
        <f t="shared" si="2"/>
        <v>5</v>
      </c>
      <c r="I6" s="76" t="s">
        <v>37</v>
      </c>
      <c r="J6" s="49">
        <v>12</v>
      </c>
      <c r="K6" s="49">
        <v>13</v>
      </c>
      <c r="L6" s="49">
        <v>4</v>
      </c>
      <c r="M6" s="92">
        <f t="shared" si="3"/>
        <v>30.76923076923077</v>
      </c>
      <c r="N6" s="110">
        <v>3</v>
      </c>
    </row>
    <row r="7" spans="1:14" s="21" customFormat="1" ht="26.25" customHeight="1" x14ac:dyDescent="0.25">
      <c r="A7" s="49">
        <v>5</v>
      </c>
      <c r="B7" s="51" t="s">
        <v>88</v>
      </c>
      <c r="C7" s="49">
        <f>1020+30</f>
        <v>1050</v>
      </c>
      <c r="D7" s="49">
        <v>1515</v>
      </c>
      <c r="E7" s="49">
        <f t="shared" si="1"/>
        <v>69.3</v>
      </c>
      <c r="F7" s="49">
        <f t="shared" si="0"/>
        <v>420</v>
      </c>
      <c r="G7" s="49">
        <v>270</v>
      </c>
      <c r="H7" s="73">
        <f t="shared" si="2"/>
        <v>5</v>
      </c>
      <c r="I7" s="76" t="s">
        <v>37</v>
      </c>
      <c r="J7" s="49">
        <v>12</v>
      </c>
      <c r="K7" s="49">
        <v>13</v>
      </c>
      <c r="L7" s="49">
        <v>4</v>
      </c>
      <c r="M7" s="92">
        <f t="shared" si="3"/>
        <v>30.76923076923077</v>
      </c>
      <c r="N7" s="110">
        <v>3</v>
      </c>
    </row>
    <row r="8" spans="1:14" s="21" customFormat="1" ht="26.25" customHeight="1" x14ac:dyDescent="0.25">
      <c r="A8" s="49">
        <v>6</v>
      </c>
      <c r="B8" s="51" t="s">
        <v>89</v>
      </c>
      <c r="C8" s="49">
        <f>932</f>
        <v>932</v>
      </c>
      <c r="D8" s="49">
        <v>1455</v>
      </c>
      <c r="E8" s="49">
        <f t="shared" si="1"/>
        <v>64.099999999999994</v>
      </c>
      <c r="F8" s="49">
        <f t="shared" si="0"/>
        <v>372.8</v>
      </c>
      <c r="G8" s="49">
        <v>270</v>
      </c>
      <c r="H8" s="73">
        <f t="shared" si="2"/>
        <v>3</v>
      </c>
      <c r="I8" s="76" t="s">
        <v>121</v>
      </c>
      <c r="J8" s="49">
        <v>7</v>
      </c>
      <c r="K8" s="49">
        <v>8</v>
      </c>
      <c r="L8" s="49">
        <v>3</v>
      </c>
      <c r="M8" s="92">
        <f t="shared" si="3"/>
        <v>37.5</v>
      </c>
      <c r="N8" s="110">
        <v>2</v>
      </c>
    </row>
    <row r="9" spans="1:14" s="21" customFormat="1" ht="26.25" customHeight="1" x14ac:dyDescent="0.25">
      <c r="A9" s="49">
        <v>7</v>
      </c>
      <c r="B9" s="51" t="s">
        <v>90</v>
      </c>
      <c r="C9" s="49">
        <f>990+30</f>
        <v>1020</v>
      </c>
      <c r="D9" s="49">
        <v>1500</v>
      </c>
      <c r="E9" s="49">
        <f t="shared" si="1"/>
        <v>68</v>
      </c>
      <c r="F9" s="49">
        <f t="shared" si="0"/>
        <v>408</v>
      </c>
      <c r="G9" s="49">
        <v>270</v>
      </c>
      <c r="H9" s="73">
        <f t="shared" si="2"/>
        <v>5</v>
      </c>
      <c r="I9" s="76" t="s">
        <v>120</v>
      </c>
      <c r="J9" s="49">
        <v>8</v>
      </c>
      <c r="K9" s="49">
        <v>9</v>
      </c>
      <c r="L9" s="49">
        <v>3</v>
      </c>
      <c r="M9" s="92">
        <f t="shared" si="3"/>
        <v>33.333333333333329</v>
      </c>
      <c r="N9" s="110">
        <v>2</v>
      </c>
    </row>
    <row r="10" spans="1:14" s="21" customFormat="1" ht="26.25" customHeight="1" x14ac:dyDescent="0.25">
      <c r="A10" s="49">
        <v>8</v>
      </c>
      <c r="B10" s="51" t="s">
        <v>91</v>
      </c>
      <c r="C10" s="49">
        <f>990+30</f>
        <v>1020</v>
      </c>
      <c r="D10" s="49">
        <v>1500</v>
      </c>
      <c r="E10" s="49">
        <f t="shared" si="1"/>
        <v>68</v>
      </c>
      <c r="F10" s="49">
        <f t="shared" si="0"/>
        <v>408</v>
      </c>
      <c r="G10" s="49">
        <v>270</v>
      </c>
      <c r="H10" s="73">
        <f t="shared" si="2"/>
        <v>5</v>
      </c>
      <c r="I10" s="76" t="s">
        <v>120</v>
      </c>
      <c r="J10" s="49">
        <v>8</v>
      </c>
      <c r="K10" s="49">
        <v>9</v>
      </c>
      <c r="L10" s="49">
        <v>3</v>
      </c>
      <c r="M10" s="92">
        <f t="shared" si="3"/>
        <v>33.333333333333329</v>
      </c>
      <c r="N10" s="110">
        <v>2</v>
      </c>
    </row>
    <row r="11" spans="1:14" s="21" customFormat="1" ht="26.25" customHeight="1" x14ac:dyDescent="0.25">
      <c r="A11" s="49">
        <v>9</v>
      </c>
      <c r="B11" s="51" t="s">
        <v>116</v>
      </c>
      <c r="C11" s="49">
        <f>990+28</f>
        <v>1018</v>
      </c>
      <c r="D11" s="49">
        <v>1500</v>
      </c>
      <c r="E11" s="49">
        <f t="shared" si="1"/>
        <v>67.900000000000006</v>
      </c>
      <c r="F11" s="49">
        <f t="shared" si="0"/>
        <v>407.20000000000005</v>
      </c>
      <c r="G11" s="49">
        <v>270</v>
      </c>
      <c r="H11" s="73">
        <f t="shared" si="2"/>
        <v>5</v>
      </c>
      <c r="I11" s="76" t="s">
        <v>35</v>
      </c>
      <c r="J11" s="49">
        <v>10</v>
      </c>
      <c r="K11" s="49">
        <v>11</v>
      </c>
      <c r="L11" s="49">
        <v>4</v>
      </c>
      <c r="M11" s="92">
        <f t="shared" si="3"/>
        <v>36.363636363636367</v>
      </c>
      <c r="N11" s="110">
        <v>3</v>
      </c>
    </row>
    <row r="12" spans="1:14" s="21" customFormat="1" ht="26.25" customHeight="1" x14ac:dyDescent="0.25">
      <c r="A12" s="49">
        <v>10</v>
      </c>
      <c r="B12" s="51" t="s">
        <v>92</v>
      </c>
      <c r="C12" s="49"/>
      <c r="D12" s="49"/>
      <c r="E12" s="49"/>
      <c r="F12" s="49"/>
      <c r="G12" s="49"/>
      <c r="H12" s="73"/>
      <c r="I12" s="77"/>
      <c r="J12" s="49"/>
      <c r="K12" s="49"/>
      <c r="L12" s="49"/>
      <c r="M12" s="92"/>
      <c r="N12" s="110"/>
    </row>
    <row r="13" spans="1:14" s="21" customFormat="1" ht="26.25" customHeight="1" x14ac:dyDescent="0.25">
      <c r="A13" s="49">
        <v>11</v>
      </c>
      <c r="B13" s="51" t="s">
        <v>146</v>
      </c>
      <c r="C13" s="49">
        <f>1050+26</f>
        <v>1076</v>
      </c>
      <c r="D13" s="49">
        <v>1530</v>
      </c>
      <c r="E13" s="49">
        <f t="shared" si="1"/>
        <v>70.3</v>
      </c>
      <c r="F13" s="49">
        <f t="shared" si="0"/>
        <v>430.40000000000003</v>
      </c>
      <c r="G13" s="49">
        <v>270</v>
      </c>
      <c r="H13" s="73">
        <f t="shared" si="2"/>
        <v>5</v>
      </c>
      <c r="I13" s="76" t="s">
        <v>48</v>
      </c>
      <c r="J13" s="49">
        <v>10</v>
      </c>
      <c r="K13" s="49">
        <v>11</v>
      </c>
      <c r="L13" s="49">
        <v>4</v>
      </c>
      <c r="M13" s="92">
        <f t="shared" si="3"/>
        <v>36.363636363636367</v>
      </c>
      <c r="N13" s="110">
        <v>3</v>
      </c>
    </row>
    <row r="14" spans="1:14" s="21" customFormat="1" ht="26.25" customHeight="1" x14ac:dyDescent="0.25">
      <c r="A14" s="49">
        <v>12</v>
      </c>
      <c r="B14" s="51" t="s">
        <v>94</v>
      </c>
      <c r="C14" s="49">
        <f>1050+26</f>
        <v>1076</v>
      </c>
      <c r="D14" s="49">
        <v>1530</v>
      </c>
      <c r="E14" s="49">
        <f t="shared" si="1"/>
        <v>70.3</v>
      </c>
      <c r="F14" s="49">
        <f t="shared" si="0"/>
        <v>430.40000000000003</v>
      </c>
      <c r="G14" s="49">
        <v>270</v>
      </c>
      <c r="H14" s="73">
        <f t="shared" si="2"/>
        <v>5</v>
      </c>
      <c r="I14" s="76" t="s">
        <v>48</v>
      </c>
      <c r="J14" s="49">
        <v>10</v>
      </c>
      <c r="K14" s="49">
        <v>11</v>
      </c>
      <c r="L14" s="49">
        <v>4</v>
      </c>
      <c r="M14" s="92">
        <f t="shared" si="3"/>
        <v>36.363636363636367</v>
      </c>
      <c r="N14" s="110">
        <v>3</v>
      </c>
    </row>
    <row r="15" spans="1:14" s="21" customFormat="1" ht="26.25" customHeight="1" x14ac:dyDescent="0.25">
      <c r="A15" s="49">
        <v>13</v>
      </c>
      <c r="B15" s="51" t="s">
        <v>95</v>
      </c>
      <c r="C15" s="49">
        <f>975+32</f>
        <v>1007</v>
      </c>
      <c r="D15" s="49">
        <v>1500</v>
      </c>
      <c r="E15" s="49">
        <f t="shared" si="1"/>
        <v>67.099999999999994</v>
      </c>
      <c r="F15" s="49">
        <f t="shared" si="0"/>
        <v>402.8</v>
      </c>
      <c r="G15" s="49">
        <v>270</v>
      </c>
      <c r="H15" s="73">
        <f t="shared" si="2"/>
        <v>4</v>
      </c>
      <c r="I15" s="76" t="s">
        <v>122</v>
      </c>
      <c r="J15" s="49">
        <v>9</v>
      </c>
      <c r="K15" s="49">
        <v>10</v>
      </c>
      <c r="L15" s="49">
        <v>4</v>
      </c>
      <c r="M15" s="92">
        <f t="shared" si="3"/>
        <v>40</v>
      </c>
      <c r="N15" s="110">
        <v>3</v>
      </c>
    </row>
    <row r="16" spans="1:14" s="21" customFormat="1" ht="26.25" customHeight="1" x14ac:dyDescent="0.25">
      <c r="A16" s="49">
        <v>14</v>
      </c>
      <c r="B16" s="51" t="s">
        <v>96</v>
      </c>
      <c r="C16" s="49">
        <f>990+26</f>
        <v>1016</v>
      </c>
      <c r="D16" s="49">
        <v>1500</v>
      </c>
      <c r="E16" s="49">
        <f t="shared" si="1"/>
        <v>67.7</v>
      </c>
      <c r="F16" s="49">
        <f t="shared" si="0"/>
        <v>406.40000000000003</v>
      </c>
      <c r="G16" s="49">
        <v>270</v>
      </c>
      <c r="H16" s="73">
        <f t="shared" si="2"/>
        <v>5</v>
      </c>
      <c r="I16" s="76" t="s">
        <v>50</v>
      </c>
      <c r="J16" s="49">
        <v>13</v>
      </c>
      <c r="K16" s="49">
        <v>14</v>
      </c>
      <c r="L16" s="49">
        <v>5</v>
      </c>
      <c r="M16" s="92">
        <f t="shared" si="3"/>
        <v>35.714285714285715</v>
      </c>
      <c r="N16" s="110">
        <v>4</v>
      </c>
    </row>
    <row r="17" spans="1:16" s="21" customFormat="1" ht="26.25" customHeight="1" x14ac:dyDescent="0.25">
      <c r="A17" s="49">
        <v>15</v>
      </c>
      <c r="B17" s="51" t="s">
        <v>97</v>
      </c>
      <c r="C17" s="49">
        <f>1050+34</f>
        <v>1084</v>
      </c>
      <c r="D17" s="49">
        <v>1530</v>
      </c>
      <c r="E17" s="49">
        <f t="shared" si="1"/>
        <v>70.8</v>
      </c>
      <c r="F17" s="49">
        <f t="shared" si="0"/>
        <v>433.6</v>
      </c>
      <c r="G17" s="49">
        <v>270</v>
      </c>
      <c r="H17" s="73">
        <f t="shared" si="2"/>
        <v>5</v>
      </c>
      <c r="I17" s="78" t="s">
        <v>117</v>
      </c>
      <c r="J17" s="49">
        <v>16</v>
      </c>
      <c r="K17" s="49">
        <v>17</v>
      </c>
      <c r="L17" s="49">
        <v>6</v>
      </c>
      <c r="M17" s="92">
        <f t="shared" si="3"/>
        <v>35.294117647058826</v>
      </c>
      <c r="N17" s="110">
        <v>5</v>
      </c>
    </row>
    <row r="18" spans="1:16" s="21" customFormat="1" ht="26.25" customHeight="1" x14ac:dyDescent="0.25">
      <c r="A18" s="49">
        <v>16</v>
      </c>
      <c r="B18" s="51" t="s">
        <v>98</v>
      </c>
      <c r="C18" s="49">
        <f>1020+38</f>
        <v>1058</v>
      </c>
      <c r="D18" s="49">
        <v>1515</v>
      </c>
      <c r="E18" s="49">
        <f t="shared" si="1"/>
        <v>69.8</v>
      </c>
      <c r="F18" s="49">
        <f t="shared" si="0"/>
        <v>423.20000000000005</v>
      </c>
      <c r="G18" s="49">
        <v>270</v>
      </c>
      <c r="H18" s="73">
        <f t="shared" si="2"/>
        <v>5</v>
      </c>
      <c r="I18" s="78" t="s">
        <v>118</v>
      </c>
      <c r="J18" s="49">
        <v>20</v>
      </c>
      <c r="K18" s="49">
        <v>21</v>
      </c>
      <c r="L18" s="49">
        <v>7</v>
      </c>
      <c r="M18" s="92">
        <f t="shared" si="3"/>
        <v>33.333333333333329</v>
      </c>
      <c r="N18" s="110">
        <v>6</v>
      </c>
    </row>
    <row r="19" spans="1:16" s="21" customFormat="1" ht="26.25" customHeight="1" x14ac:dyDescent="0.25">
      <c r="A19" s="49">
        <v>17</v>
      </c>
      <c r="B19" s="51" t="s">
        <v>99</v>
      </c>
      <c r="C19" s="49">
        <f>1020+38</f>
        <v>1058</v>
      </c>
      <c r="D19" s="49">
        <v>1515</v>
      </c>
      <c r="E19" s="49">
        <f t="shared" si="1"/>
        <v>69.8</v>
      </c>
      <c r="F19" s="49">
        <f t="shared" si="0"/>
        <v>423.20000000000005</v>
      </c>
      <c r="G19" s="49">
        <v>270</v>
      </c>
      <c r="H19" s="73">
        <f t="shared" si="2"/>
        <v>5</v>
      </c>
      <c r="I19" s="78" t="s">
        <v>118</v>
      </c>
      <c r="J19" s="49">
        <v>19</v>
      </c>
      <c r="K19" s="49">
        <v>20</v>
      </c>
      <c r="L19" s="49">
        <f>K19*0.3</f>
        <v>6</v>
      </c>
      <c r="M19" s="92">
        <f t="shared" si="3"/>
        <v>30</v>
      </c>
      <c r="N19" s="110">
        <v>5</v>
      </c>
    </row>
    <row r="20" spans="1:16" s="21" customFormat="1" ht="26.25" customHeight="1" x14ac:dyDescent="0.25">
      <c r="A20" s="49">
        <v>18</v>
      </c>
      <c r="B20" s="51" t="s">
        <v>100</v>
      </c>
      <c r="C20" s="49">
        <f>1080+40</f>
        <v>1120</v>
      </c>
      <c r="D20" s="49">
        <v>1545</v>
      </c>
      <c r="E20" s="49">
        <f t="shared" si="1"/>
        <v>72.5</v>
      </c>
      <c r="F20" s="49">
        <f t="shared" si="0"/>
        <v>448</v>
      </c>
      <c r="G20" s="49">
        <v>270</v>
      </c>
      <c r="H20" s="73">
        <f t="shared" si="2"/>
        <v>6</v>
      </c>
      <c r="I20" s="78" t="s">
        <v>119</v>
      </c>
      <c r="J20" s="49">
        <v>20</v>
      </c>
      <c r="K20" s="49">
        <v>21</v>
      </c>
      <c r="L20" s="49">
        <v>7</v>
      </c>
      <c r="M20" s="92">
        <f t="shared" si="3"/>
        <v>33.333333333333329</v>
      </c>
      <c r="N20" s="110">
        <v>6</v>
      </c>
    </row>
    <row r="21" spans="1:16" s="21" customFormat="1" ht="26.25" customHeight="1" x14ac:dyDescent="0.25">
      <c r="A21" s="49">
        <v>19</v>
      </c>
      <c r="B21" s="51" t="s">
        <v>101</v>
      </c>
      <c r="C21" s="49"/>
      <c r="D21" s="49"/>
      <c r="E21" s="49"/>
      <c r="F21" s="49"/>
      <c r="G21" s="49"/>
      <c r="H21" s="73"/>
      <c r="I21" s="77"/>
      <c r="J21" s="49"/>
      <c r="K21" s="49"/>
      <c r="L21" s="49"/>
      <c r="M21" s="92"/>
      <c r="N21" s="110"/>
    </row>
    <row r="22" spans="1:16" s="21" customFormat="1" ht="26.25" customHeight="1" x14ac:dyDescent="0.25">
      <c r="A22" s="49">
        <v>20</v>
      </c>
      <c r="B22" s="51" t="s">
        <v>102</v>
      </c>
      <c r="C22" s="49">
        <f>1050+34</f>
        <v>1084</v>
      </c>
      <c r="D22" s="49">
        <v>1530</v>
      </c>
      <c r="E22" s="49">
        <f t="shared" si="1"/>
        <v>70.8</v>
      </c>
      <c r="F22" s="49">
        <f t="shared" si="0"/>
        <v>433.6</v>
      </c>
      <c r="G22" s="49">
        <v>270</v>
      </c>
      <c r="H22" s="73">
        <f t="shared" si="2"/>
        <v>5</v>
      </c>
      <c r="I22" s="78" t="s">
        <v>119</v>
      </c>
      <c r="J22" s="49">
        <v>18</v>
      </c>
      <c r="K22" s="49">
        <v>19</v>
      </c>
      <c r="L22" s="49">
        <v>6</v>
      </c>
      <c r="M22" s="92">
        <f t="shared" si="3"/>
        <v>31.578947368421051</v>
      </c>
      <c r="N22" s="110">
        <v>5</v>
      </c>
    </row>
    <row r="23" spans="1:16" s="21" customFormat="1" ht="26.25" customHeight="1" x14ac:dyDescent="0.25">
      <c r="A23" s="49">
        <v>21</v>
      </c>
      <c r="B23" s="51" t="s">
        <v>103</v>
      </c>
      <c r="C23" s="49">
        <f>1080+34</f>
        <v>1114</v>
      </c>
      <c r="D23" s="49">
        <v>1545</v>
      </c>
      <c r="E23" s="49">
        <f t="shared" si="1"/>
        <v>72.099999999999994</v>
      </c>
      <c r="F23" s="49">
        <f t="shared" si="0"/>
        <v>445.6</v>
      </c>
      <c r="G23" s="49">
        <v>270</v>
      </c>
      <c r="H23" s="73">
        <f t="shared" si="2"/>
        <v>6</v>
      </c>
      <c r="I23" s="78" t="s">
        <v>119</v>
      </c>
      <c r="J23" s="49">
        <v>17</v>
      </c>
      <c r="K23" s="49">
        <v>18</v>
      </c>
      <c r="L23" s="49">
        <v>6</v>
      </c>
      <c r="M23" s="92">
        <f t="shared" si="3"/>
        <v>33.333333333333329</v>
      </c>
      <c r="N23" s="110">
        <v>5</v>
      </c>
    </row>
    <row r="24" spans="1:16" s="21" customFormat="1" ht="26.25" customHeight="1" x14ac:dyDescent="0.25">
      <c r="A24" s="49">
        <v>22</v>
      </c>
      <c r="B24" s="51" t="s">
        <v>104</v>
      </c>
      <c r="C24" s="49"/>
      <c r="D24" s="49"/>
      <c r="E24" s="49"/>
      <c r="F24" s="49"/>
      <c r="G24" s="49"/>
      <c r="H24" s="73"/>
      <c r="I24" s="77"/>
      <c r="J24" s="49"/>
      <c r="K24" s="49"/>
      <c r="L24" s="49"/>
      <c r="M24" s="92"/>
      <c r="N24" s="110"/>
    </row>
    <row r="25" spans="1:16" s="21" customFormat="1" ht="26.25" customHeight="1" x14ac:dyDescent="0.25">
      <c r="A25" s="49">
        <v>23</v>
      </c>
      <c r="B25" s="51" t="s">
        <v>105</v>
      </c>
      <c r="C25" s="56">
        <f>780+28</f>
        <v>808</v>
      </c>
      <c r="D25" s="56">
        <v>1380</v>
      </c>
      <c r="E25" s="52">
        <f t="shared" si="1"/>
        <v>58.6</v>
      </c>
      <c r="F25" s="49">
        <f t="shared" si="0"/>
        <v>323.20000000000005</v>
      </c>
      <c r="G25" s="49">
        <v>270</v>
      </c>
      <c r="H25" s="73">
        <f t="shared" si="2"/>
        <v>2</v>
      </c>
      <c r="I25" s="76" t="s">
        <v>124</v>
      </c>
      <c r="J25" s="49">
        <v>6</v>
      </c>
      <c r="K25" s="49">
        <v>7</v>
      </c>
      <c r="L25" s="49">
        <v>3</v>
      </c>
      <c r="M25" s="92">
        <f t="shared" si="3"/>
        <v>42.857142857142854</v>
      </c>
      <c r="N25" s="110">
        <v>2</v>
      </c>
    </row>
    <row r="26" spans="1:16" s="21" customFormat="1" ht="26.25" customHeight="1" x14ac:dyDescent="0.25">
      <c r="A26" s="49">
        <v>24</v>
      </c>
      <c r="B26" s="51" t="s">
        <v>106</v>
      </c>
      <c r="C26" s="49">
        <f>810+34</f>
        <v>844</v>
      </c>
      <c r="D26" s="49">
        <v>1395</v>
      </c>
      <c r="E26" s="49">
        <f t="shared" si="1"/>
        <v>60.5</v>
      </c>
      <c r="F26" s="49">
        <f t="shared" si="0"/>
        <v>337.6</v>
      </c>
      <c r="G26" s="49">
        <v>270</v>
      </c>
      <c r="H26" s="73">
        <f t="shared" si="2"/>
        <v>2</v>
      </c>
      <c r="I26" s="84" t="s">
        <v>35</v>
      </c>
      <c r="J26" s="49">
        <v>11</v>
      </c>
      <c r="K26" s="49">
        <v>12</v>
      </c>
      <c r="L26" s="49">
        <v>4</v>
      </c>
      <c r="M26" s="92">
        <f t="shared" si="3"/>
        <v>33.333333333333329</v>
      </c>
      <c r="N26" s="110">
        <v>3</v>
      </c>
    </row>
    <row r="27" spans="1:16" s="21" customFormat="1" ht="26.25" customHeight="1" x14ac:dyDescent="0.25">
      <c r="A27" s="49">
        <v>25</v>
      </c>
      <c r="B27" s="51" t="s">
        <v>107</v>
      </c>
      <c r="C27" s="49"/>
      <c r="D27" s="49"/>
      <c r="E27" s="49"/>
      <c r="F27" s="49"/>
      <c r="G27" s="49"/>
      <c r="H27" s="73"/>
      <c r="I27" s="77"/>
      <c r="J27" s="49"/>
      <c r="K27" s="49"/>
      <c r="L27" s="49"/>
      <c r="M27" s="92"/>
      <c r="N27" s="110"/>
    </row>
    <row r="28" spans="1:16" s="21" customFormat="1" ht="26.25" customHeight="1" x14ac:dyDescent="0.25">
      <c r="A28" s="49">
        <v>26</v>
      </c>
      <c r="B28" s="51" t="s">
        <v>108</v>
      </c>
      <c r="C28" s="49">
        <f>840+36</f>
        <v>876</v>
      </c>
      <c r="D28" s="49">
        <v>1455</v>
      </c>
      <c r="E28" s="49">
        <f t="shared" si="1"/>
        <v>60.2</v>
      </c>
      <c r="F28" s="49">
        <f t="shared" si="0"/>
        <v>350.40000000000003</v>
      </c>
      <c r="G28" s="49">
        <v>270</v>
      </c>
      <c r="H28" s="73">
        <f t="shared" si="2"/>
        <v>3</v>
      </c>
      <c r="I28" s="76" t="s">
        <v>35</v>
      </c>
      <c r="J28" s="49">
        <v>9</v>
      </c>
      <c r="K28" s="49">
        <v>10</v>
      </c>
      <c r="L28" s="49">
        <v>3</v>
      </c>
      <c r="M28" s="92">
        <f t="shared" si="3"/>
        <v>30</v>
      </c>
      <c r="N28" s="110">
        <v>2</v>
      </c>
    </row>
    <row r="29" spans="1:16" s="21" customFormat="1" ht="26.25" customHeight="1" x14ac:dyDescent="0.25">
      <c r="A29" s="49">
        <v>27</v>
      </c>
      <c r="B29" s="51" t="s">
        <v>109</v>
      </c>
      <c r="C29" s="49">
        <f>1050+36</f>
        <v>1086</v>
      </c>
      <c r="D29" s="49">
        <v>1530</v>
      </c>
      <c r="E29" s="49">
        <f t="shared" si="1"/>
        <v>71</v>
      </c>
      <c r="F29" s="49">
        <f t="shared" si="0"/>
        <v>434.40000000000003</v>
      </c>
      <c r="G29" s="49">
        <v>270</v>
      </c>
      <c r="H29" s="73">
        <f t="shared" si="2"/>
        <v>5</v>
      </c>
      <c r="I29" s="76" t="s">
        <v>141</v>
      </c>
      <c r="J29" s="49">
        <v>10</v>
      </c>
      <c r="K29" s="49">
        <v>11</v>
      </c>
      <c r="L29" s="49">
        <v>4</v>
      </c>
      <c r="M29" s="92">
        <f t="shared" si="3"/>
        <v>36.363636363636367</v>
      </c>
      <c r="N29" s="110">
        <v>3</v>
      </c>
    </row>
    <row r="30" spans="1:16" s="21" customFormat="1" ht="26.25" customHeight="1" x14ac:dyDescent="0.25">
      <c r="A30" s="141" t="s">
        <v>65</v>
      </c>
      <c r="B30" s="141"/>
      <c r="C30" s="68" t="s">
        <v>140</v>
      </c>
      <c r="D30" s="48"/>
      <c r="E30" s="48"/>
      <c r="F30" s="49"/>
      <c r="G30" s="49"/>
      <c r="H30" s="56">
        <f>COUNT(H3:H29)</f>
        <v>23</v>
      </c>
      <c r="I30" s="49"/>
      <c r="J30" s="49"/>
      <c r="K30" s="100" t="s">
        <v>149</v>
      </c>
      <c r="L30" s="49"/>
      <c r="M30" s="103">
        <f>COUNTIF(M3:M29,"&gt;=30")</f>
        <v>23</v>
      </c>
      <c r="N30" s="146">
        <f>COUNT(N3:N29)</f>
        <v>23</v>
      </c>
      <c r="P30" s="62"/>
    </row>
    <row r="31" spans="1:16" s="4" customFormat="1" ht="18.75" hidden="1" customHeight="1" x14ac:dyDescent="0.25">
      <c r="A31" s="26"/>
      <c r="B31" s="26"/>
      <c r="C31" s="7"/>
      <c r="D31" s="7"/>
      <c r="E31" s="7"/>
      <c r="F31" s="7"/>
      <c r="G31" s="7"/>
      <c r="H31" s="7"/>
      <c r="I31" s="7"/>
      <c r="J31" s="5"/>
      <c r="K31" s="5"/>
      <c r="L31" s="5"/>
    </row>
    <row r="32" spans="1:16" s="4" customFormat="1" ht="18.75" hidden="1" customHeight="1" x14ac:dyDescent="0.25">
      <c r="A32" s="26"/>
      <c r="B32" s="26"/>
      <c r="C32" s="7"/>
      <c r="D32" s="7"/>
      <c r="E32" s="7"/>
      <c r="F32" s="7"/>
      <c r="G32" s="7"/>
      <c r="H32" s="7"/>
      <c r="I32" s="7"/>
      <c r="J32" s="5"/>
      <c r="K32" s="5"/>
      <c r="L32" s="5"/>
    </row>
    <row r="33" spans="1:12" s="4" customFormat="1" ht="18.75" hidden="1" customHeight="1" x14ac:dyDescent="0.25">
      <c r="A33" s="26"/>
      <c r="B33" s="80" t="s">
        <v>76</v>
      </c>
      <c r="C33" s="7"/>
      <c r="D33" s="7"/>
      <c r="E33" s="7"/>
      <c r="F33" s="7"/>
      <c r="G33" s="7"/>
      <c r="H33" s="7"/>
      <c r="I33" s="7"/>
      <c r="J33" s="5"/>
      <c r="K33" s="5"/>
      <c r="L33" s="5"/>
    </row>
    <row r="34" spans="1:12" s="4" customFormat="1" ht="18.75" hidden="1" customHeight="1" x14ac:dyDescent="0.25">
      <c r="A34" s="26"/>
      <c r="B34" s="81" t="s">
        <v>74</v>
      </c>
      <c r="C34" s="7"/>
      <c r="D34" s="7"/>
      <c r="E34" s="7"/>
      <c r="F34" s="7"/>
      <c r="G34" s="7"/>
      <c r="H34" s="7"/>
      <c r="I34" s="7"/>
      <c r="J34" s="5"/>
      <c r="K34" s="5"/>
      <c r="L34" s="5"/>
    </row>
    <row r="35" spans="1:12" s="4" customFormat="1" ht="18.75" hidden="1" customHeight="1" x14ac:dyDescent="0.25">
      <c r="A35" s="26"/>
      <c r="B35" s="81" t="s">
        <v>75</v>
      </c>
      <c r="C35" s="7"/>
      <c r="D35" s="7"/>
      <c r="E35" s="7"/>
      <c r="F35" s="7"/>
      <c r="G35" s="7"/>
      <c r="H35" s="7"/>
      <c r="I35" s="7"/>
      <c r="J35" s="5"/>
      <c r="K35" s="5"/>
      <c r="L35" s="5"/>
    </row>
    <row r="36" spans="1:12" s="4" customFormat="1" ht="11.25" hidden="1" customHeight="1" x14ac:dyDescent="0.25">
      <c r="A36" s="26"/>
      <c r="B36" s="7"/>
      <c r="C36" s="7"/>
      <c r="D36" s="7"/>
      <c r="E36" s="18"/>
      <c r="F36" s="7"/>
      <c r="G36" s="7"/>
      <c r="H36" s="7"/>
      <c r="I36" s="7"/>
      <c r="J36" s="5"/>
      <c r="K36" s="5"/>
      <c r="L36" s="5"/>
    </row>
    <row r="37" spans="1:12" s="4" customFormat="1" ht="18.75" hidden="1" customHeight="1" x14ac:dyDescent="0.25">
      <c r="A37" s="26"/>
      <c r="B37" s="80" t="s">
        <v>82</v>
      </c>
      <c r="C37" s="7"/>
      <c r="D37" s="7"/>
      <c r="E37" s="7"/>
      <c r="F37" s="7"/>
      <c r="G37" s="7"/>
      <c r="H37" s="7"/>
      <c r="I37" s="7"/>
      <c r="J37" s="5"/>
      <c r="K37" s="5"/>
      <c r="L37" s="5"/>
    </row>
    <row r="38" spans="1:12" s="4" customFormat="1" ht="20.25" hidden="1" customHeight="1" x14ac:dyDescent="0.25">
      <c r="A38" s="26"/>
      <c r="B38" s="82" t="s">
        <v>83</v>
      </c>
      <c r="C38" s="26"/>
      <c r="D38" s="26"/>
      <c r="E38" s="82"/>
      <c r="F38" s="26"/>
      <c r="G38" s="26"/>
      <c r="H38" s="26"/>
      <c r="I38" s="7"/>
      <c r="J38" s="5"/>
      <c r="K38" s="5"/>
      <c r="L38" s="5"/>
    </row>
    <row r="39" spans="1:12" ht="20.25" hidden="1" customHeight="1" x14ac:dyDescent="0.25"/>
    <row r="40" spans="1:12" ht="13.5" customHeight="1" x14ac:dyDescent="0.25"/>
    <row r="41" spans="1:12" ht="18.75" hidden="1" customHeight="1" x14ac:dyDescent="0.25">
      <c r="B41" s="2" t="s">
        <v>142</v>
      </c>
    </row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N1"/>
  </mergeCells>
  <printOptions horizontalCentered="1"/>
  <pageMargins left="0.15748031496062992" right="0.15748031496062992" top="0.11811023622047245" bottom="0.11811023622047245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30"/>
  <sheetViews>
    <sheetView zoomScale="115" zoomScaleNormal="115" workbookViewId="0">
      <selection activeCell="N2" sqref="N2:N30"/>
    </sheetView>
  </sheetViews>
  <sheetFormatPr defaultRowHeight="15" x14ac:dyDescent="0.25"/>
  <cols>
    <col min="1" max="1" width="3.5703125" style="2" customWidth="1"/>
    <col min="2" max="2" width="30" style="2" customWidth="1"/>
    <col min="3" max="6" width="10.7109375" style="40" hidden="1" customWidth="1"/>
    <col min="7" max="7" width="10.7109375" style="42" hidden="1" customWidth="1"/>
    <col min="8" max="8" width="10.7109375" style="40" hidden="1" customWidth="1"/>
    <col min="9" max="10" width="20.85546875" style="3" hidden="1" customWidth="1"/>
    <col min="11" max="11" width="17.85546875" style="3" customWidth="1"/>
    <col min="12" max="12" width="20.85546875" style="2" customWidth="1"/>
    <col min="13" max="13" width="20.85546875" style="2" hidden="1" customWidth="1"/>
    <col min="14" max="14" width="28.5703125" style="2" customWidth="1"/>
    <col min="15" max="16384" width="9.140625" style="2"/>
  </cols>
  <sheetData>
    <row r="1" spans="1:14" s="1" customFormat="1" ht="45.75" customHeight="1" x14ac:dyDescent="0.25">
      <c r="A1" s="144" t="s">
        <v>154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4" s="21" customFormat="1" ht="57" customHeight="1" x14ac:dyDescent="0.25">
      <c r="A2" s="100" t="s">
        <v>110</v>
      </c>
      <c r="B2" s="19" t="s">
        <v>27</v>
      </c>
      <c r="C2" s="19" t="s">
        <v>111</v>
      </c>
      <c r="D2" s="19" t="s">
        <v>28</v>
      </c>
      <c r="E2" s="19" t="s">
        <v>112</v>
      </c>
      <c r="F2" s="20" t="s">
        <v>29</v>
      </c>
      <c r="G2" s="20" t="s">
        <v>30</v>
      </c>
      <c r="H2" s="72" t="s">
        <v>31</v>
      </c>
      <c r="I2" s="75" t="s">
        <v>147</v>
      </c>
      <c r="J2" s="19" t="s">
        <v>148</v>
      </c>
      <c r="K2" s="19" t="s">
        <v>150</v>
      </c>
      <c r="L2" s="19" t="s">
        <v>151</v>
      </c>
      <c r="M2" s="19" t="s">
        <v>145</v>
      </c>
      <c r="N2" s="111" t="s">
        <v>152</v>
      </c>
    </row>
    <row r="3" spans="1:14" s="21" customFormat="1" ht="25.5" customHeight="1" x14ac:dyDescent="0.25">
      <c r="A3" s="60">
        <v>1</v>
      </c>
      <c r="B3" s="88" t="s">
        <v>84</v>
      </c>
      <c r="C3" s="59">
        <f>645+20</f>
        <v>665</v>
      </c>
      <c r="D3" s="59">
        <v>1050</v>
      </c>
      <c r="E3" s="59">
        <f>ROUND(C3*100/D3,1)</f>
        <v>63.3</v>
      </c>
      <c r="F3" s="60">
        <f>C3*0.4</f>
        <v>266</v>
      </c>
      <c r="G3" s="60">
        <v>270</v>
      </c>
      <c r="H3" s="83">
        <f>ROUND((F3-G3)/30,0)</f>
        <v>0</v>
      </c>
      <c r="I3" s="89" t="s">
        <v>128</v>
      </c>
      <c r="J3" s="93">
        <v>5</v>
      </c>
      <c r="K3" s="49">
        <f>J3+1</f>
        <v>6</v>
      </c>
      <c r="L3" s="104">
        <v>2</v>
      </c>
      <c r="M3" s="92">
        <f>(L3/K3)*100</f>
        <v>33.333333333333329</v>
      </c>
      <c r="N3" s="110">
        <f>L3-1</f>
        <v>1</v>
      </c>
    </row>
    <row r="4" spans="1:14" s="21" customFormat="1" ht="25.5" customHeight="1" x14ac:dyDescent="0.25">
      <c r="A4" s="60">
        <v>2</v>
      </c>
      <c r="B4" s="88" t="s">
        <v>85</v>
      </c>
      <c r="C4" s="60">
        <f>795+16</f>
        <v>811</v>
      </c>
      <c r="D4" s="60">
        <v>1125</v>
      </c>
      <c r="E4" s="59">
        <f t="shared" ref="E4:E29" si="0">ROUND(C4*100/D4,1)</f>
        <v>72.099999999999994</v>
      </c>
      <c r="F4" s="60">
        <f t="shared" ref="F4:F29" si="1">C4*0.4</f>
        <v>324.40000000000003</v>
      </c>
      <c r="G4" s="60">
        <v>270</v>
      </c>
      <c r="H4" s="83">
        <f t="shared" ref="H4:H29" si="2">ROUND((F4-G4)/30,0)</f>
        <v>2</v>
      </c>
      <c r="I4" s="89" t="s">
        <v>129</v>
      </c>
      <c r="J4" s="49">
        <v>7</v>
      </c>
      <c r="K4" s="49">
        <f t="shared" ref="K4:K29" si="3">J4+1</f>
        <v>8</v>
      </c>
      <c r="L4" s="104">
        <v>3</v>
      </c>
      <c r="M4" s="92">
        <f t="shared" ref="M4:M29" si="4">(L4/K4)*100</f>
        <v>37.5</v>
      </c>
      <c r="N4" s="110">
        <f t="shared" ref="N4:N29" si="5">L4-1</f>
        <v>2</v>
      </c>
    </row>
    <row r="5" spans="1:14" s="21" customFormat="1" ht="25.5" customHeight="1" x14ac:dyDescent="0.25">
      <c r="A5" s="60">
        <v>3</v>
      </c>
      <c r="B5" s="88" t="s">
        <v>86</v>
      </c>
      <c r="C5" s="60">
        <v>735</v>
      </c>
      <c r="D5" s="60">
        <v>1095</v>
      </c>
      <c r="E5" s="59">
        <f t="shared" si="0"/>
        <v>67.099999999999994</v>
      </c>
      <c r="F5" s="60">
        <f t="shared" si="1"/>
        <v>294</v>
      </c>
      <c r="G5" s="60">
        <v>270</v>
      </c>
      <c r="H5" s="83">
        <f t="shared" si="2"/>
        <v>1</v>
      </c>
      <c r="I5" s="89" t="s">
        <v>122</v>
      </c>
      <c r="J5" s="49">
        <v>6</v>
      </c>
      <c r="K5" s="49">
        <f t="shared" si="3"/>
        <v>7</v>
      </c>
      <c r="L5" s="104">
        <v>3</v>
      </c>
      <c r="M5" s="92">
        <f t="shared" si="4"/>
        <v>42.857142857142854</v>
      </c>
      <c r="N5" s="110">
        <f t="shared" si="5"/>
        <v>2</v>
      </c>
    </row>
    <row r="6" spans="1:14" s="21" customFormat="1" ht="25.5" customHeight="1" x14ac:dyDescent="0.25">
      <c r="A6" s="60">
        <v>4</v>
      </c>
      <c r="B6" s="88" t="s">
        <v>87</v>
      </c>
      <c r="C6" s="60"/>
      <c r="D6" s="60"/>
      <c r="E6" s="59"/>
      <c r="F6" s="60"/>
      <c r="G6" s="60"/>
      <c r="H6" s="83"/>
      <c r="I6" s="89"/>
      <c r="J6" s="49"/>
      <c r="K6" s="49"/>
      <c r="L6" s="104"/>
      <c r="M6" s="92"/>
      <c r="N6" s="110"/>
    </row>
    <row r="7" spans="1:14" s="21" customFormat="1" ht="25.5" customHeight="1" x14ac:dyDescent="0.25">
      <c r="A7" s="60">
        <v>5</v>
      </c>
      <c r="B7" s="88" t="s">
        <v>88</v>
      </c>
      <c r="C7" s="60">
        <v>811</v>
      </c>
      <c r="D7" s="60">
        <v>1125</v>
      </c>
      <c r="E7" s="59">
        <f t="shared" si="0"/>
        <v>72.099999999999994</v>
      </c>
      <c r="F7" s="60">
        <f t="shared" si="1"/>
        <v>324.40000000000003</v>
      </c>
      <c r="G7" s="60">
        <v>270</v>
      </c>
      <c r="H7" s="83">
        <f t="shared" si="2"/>
        <v>2</v>
      </c>
      <c r="I7" s="89" t="s">
        <v>129</v>
      </c>
      <c r="J7" s="49">
        <v>7</v>
      </c>
      <c r="K7" s="49">
        <f t="shared" si="3"/>
        <v>8</v>
      </c>
      <c r="L7" s="104">
        <v>3</v>
      </c>
      <c r="M7" s="92">
        <f t="shared" si="4"/>
        <v>37.5</v>
      </c>
      <c r="N7" s="110">
        <f t="shared" si="5"/>
        <v>2</v>
      </c>
    </row>
    <row r="8" spans="1:14" s="21" customFormat="1" ht="25.5" customHeight="1" x14ac:dyDescent="0.25">
      <c r="A8" s="60">
        <v>6</v>
      </c>
      <c r="B8" s="88" t="s">
        <v>89</v>
      </c>
      <c r="C8" s="59"/>
      <c r="D8" s="59"/>
      <c r="E8" s="59"/>
      <c r="F8" s="60"/>
      <c r="G8" s="60"/>
      <c r="H8" s="83"/>
      <c r="I8" s="90"/>
      <c r="J8" s="49"/>
      <c r="K8" s="49"/>
      <c r="L8" s="104"/>
      <c r="M8" s="92"/>
      <c r="N8" s="110"/>
    </row>
    <row r="9" spans="1:14" s="21" customFormat="1" ht="25.5" customHeight="1" x14ac:dyDescent="0.25">
      <c r="A9" s="60">
        <v>7</v>
      </c>
      <c r="B9" s="88" t="s">
        <v>90</v>
      </c>
      <c r="C9" s="60">
        <f>675+22</f>
        <v>697</v>
      </c>
      <c r="D9" s="60">
        <v>1065</v>
      </c>
      <c r="E9" s="59">
        <f t="shared" si="0"/>
        <v>65.400000000000006</v>
      </c>
      <c r="F9" s="60">
        <f t="shared" si="1"/>
        <v>278.8</v>
      </c>
      <c r="G9" s="60">
        <v>270</v>
      </c>
      <c r="H9" s="83">
        <f t="shared" si="2"/>
        <v>0</v>
      </c>
      <c r="I9" s="89" t="s">
        <v>34</v>
      </c>
      <c r="J9" s="49">
        <v>5</v>
      </c>
      <c r="K9" s="49">
        <f t="shared" si="3"/>
        <v>6</v>
      </c>
      <c r="L9" s="104">
        <v>2</v>
      </c>
      <c r="M9" s="92">
        <f t="shared" si="4"/>
        <v>33.333333333333329</v>
      </c>
      <c r="N9" s="110">
        <f t="shared" si="5"/>
        <v>1</v>
      </c>
    </row>
    <row r="10" spans="1:14" s="21" customFormat="1" ht="25.5" customHeight="1" x14ac:dyDescent="0.25">
      <c r="A10" s="60">
        <v>8</v>
      </c>
      <c r="B10" s="88" t="s">
        <v>91</v>
      </c>
      <c r="C10" s="60">
        <f>765+20</f>
        <v>785</v>
      </c>
      <c r="D10" s="60">
        <v>1110</v>
      </c>
      <c r="E10" s="59">
        <f t="shared" si="0"/>
        <v>70.7</v>
      </c>
      <c r="F10" s="60">
        <f t="shared" si="1"/>
        <v>314</v>
      </c>
      <c r="G10" s="60">
        <v>270</v>
      </c>
      <c r="H10" s="83">
        <f t="shared" si="2"/>
        <v>1</v>
      </c>
      <c r="I10" s="89" t="s">
        <v>122</v>
      </c>
      <c r="J10" s="49">
        <v>6</v>
      </c>
      <c r="K10" s="49">
        <f t="shared" si="3"/>
        <v>7</v>
      </c>
      <c r="L10" s="104">
        <v>3</v>
      </c>
      <c r="M10" s="92">
        <f t="shared" si="4"/>
        <v>42.857142857142854</v>
      </c>
      <c r="N10" s="110">
        <f t="shared" si="5"/>
        <v>2</v>
      </c>
    </row>
    <row r="11" spans="1:14" s="21" customFormat="1" ht="25.5" customHeight="1" x14ac:dyDescent="0.25">
      <c r="A11" s="60">
        <v>9</v>
      </c>
      <c r="B11" s="88" t="s">
        <v>116</v>
      </c>
      <c r="C11" s="60">
        <f>705+16</f>
        <v>721</v>
      </c>
      <c r="D11" s="60">
        <v>1080</v>
      </c>
      <c r="E11" s="59">
        <f t="shared" si="0"/>
        <v>66.8</v>
      </c>
      <c r="F11" s="60">
        <f t="shared" si="1"/>
        <v>288.40000000000003</v>
      </c>
      <c r="G11" s="60">
        <v>270</v>
      </c>
      <c r="H11" s="83">
        <f t="shared" si="2"/>
        <v>1</v>
      </c>
      <c r="I11" s="89" t="s">
        <v>122</v>
      </c>
      <c r="J11" s="49">
        <v>7</v>
      </c>
      <c r="K11" s="49">
        <f t="shared" si="3"/>
        <v>8</v>
      </c>
      <c r="L11" s="104">
        <v>3</v>
      </c>
      <c r="M11" s="92">
        <f t="shared" si="4"/>
        <v>37.5</v>
      </c>
      <c r="N11" s="110">
        <f t="shared" si="5"/>
        <v>2</v>
      </c>
    </row>
    <row r="12" spans="1:14" s="21" customFormat="1" ht="25.5" customHeight="1" x14ac:dyDescent="0.25">
      <c r="A12" s="60">
        <v>10</v>
      </c>
      <c r="B12" s="88" t="s">
        <v>92</v>
      </c>
      <c r="C12" s="60">
        <f>765+16</f>
        <v>781</v>
      </c>
      <c r="D12" s="60">
        <v>1110</v>
      </c>
      <c r="E12" s="59">
        <f t="shared" si="0"/>
        <v>70.400000000000006</v>
      </c>
      <c r="F12" s="60">
        <f t="shared" si="1"/>
        <v>312.40000000000003</v>
      </c>
      <c r="G12" s="60">
        <v>270</v>
      </c>
      <c r="H12" s="83">
        <f t="shared" si="2"/>
        <v>1</v>
      </c>
      <c r="I12" s="89" t="s">
        <v>35</v>
      </c>
      <c r="J12" s="49">
        <v>7</v>
      </c>
      <c r="K12" s="49">
        <f t="shared" si="3"/>
        <v>8</v>
      </c>
      <c r="L12" s="104">
        <v>3</v>
      </c>
      <c r="M12" s="92">
        <f t="shared" si="4"/>
        <v>37.5</v>
      </c>
      <c r="N12" s="110">
        <f t="shared" si="5"/>
        <v>2</v>
      </c>
    </row>
    <row r="13" spans="1:14" s="21" customFormat="1" ht="25.5" customHeight="1" x14ac:dyDescent="0.25">
      <c r="A13" s="60">
        <v>11</v>
      </c>
      <c r="B13" s="88" t="s">
        <v>146</v>
      </c>
      <c r="C13" s="60"/>
      <c r="D13" s="60"/>
      <c r="E13" s="59"/>
      <c r="F13" s="60"/>
      <c r="G13" s="60"/>
      <c r="H13" s="83"/>
      <c r="I13" s="90"/>
      <c r="J13" s="49"/>
      <c r="K13" s="49"/>
      <c r="L13" s="104"/>
      <c r="M13" s="92"/>
      <c r="N13" s="110"/>
    </row>
    <row r="14" spans="1:14" s="21" customFormat="1" ht="25.5" customHeight="1" x14ac:dyDescent="0.25">
      <c r="A14" s="60">
        <v>12</v>
      </c>
      <c r="B14" s="88" t="s">
        <v>94</v>
      </c>
      <c r="C14" s="59"/>
      <c r="D14" s="59"/>
      <c r="E14" s="59"/>
      <c r="F14" s="60"/>
      <c r="G14" s="60"/>
      <c r="H14" s="83"/>
      <c r="I14" s="90"/>
      <c r="J14" s="49"/>
      <c r="K14" s="49"/>
      <c r="L14" s="104"/>
      <c r="M14" s="92"/>
      <c r="N14" s="110"/>
    </row>
    <row r="15" spans="1:14" s="21" customFormat="1" ht="25.5" customHeight="1" x14ac:dyDescent="0.25">
      <c r="A15" s="60">
        <v>13</v>
      </c>
      <c r="B15" s="88" t="s">
        <v>95</v>
      </c>
      <c r="C15" s="60"/>
      <c r="D15" s="60"/>
      <c r="E15" s="59"/>
      <c r="F15" s="60"/>
      <c r="G15" s="60"/>
      <c r="H15" s="83"/>
      <c r="I15" s="90"/>
      <c r="J15" s="49"/>
      <c r="K15" s="49"/>
      <c r="L15" s="104"/>
      <c r="M15" s="92"/>
      <c r="N15" s="110"/>
    </row>
    <row r="16" spans="1:14" s="21" customFormat="1" ht="25.5" customHeight="1" x14ac:dyDescent="0.25">
      <c r="A16" s="60">
        <v>14</v>
      </c>
      <c r="B16" s="88" t="s">
        <v>96</v>
      </c>
      <c r="C16" s="60">
        <f>675+16</f>
        <v>691</v>
      </c>
      <c r="D16" s="60">
        <v>1065</v>
      </c>
      <c r="E16" s="59">
        <f t="shared" si="0"/>
        <v>64.900000000000006</v>
      </c>
      <c r="F16" s="60">
        <f t="shared" si="1"/>
        <v>276.40000000000003</v>
      </c>
      <c r="G16" s="60">
        <v>270</v>
      </c>
      <c r="H16" s="83">
        <f t="shared" si="2"/>
        <v>0</v>
      </c>
      <c r="I16" s="89" t="s">
        <v>35</v>
      </c>
      <c r="J16" s="49">
        <v>7</v>
      </c>
      <c r="K16" s="49">
        <f t="shared" si="3"/>
        <v>8</v>
      </c>
      <c r="L16" s="104">
        <v>3</v>
      </c>
      <c r="M16" s="92">
        <f t="shared" si="4"/>
        <v>37.5</v>
      </c>
      <c r="N16" s="110">
        <f t="shared" si="5"/>
        <v>2</v>
      </c>
    </row>
    <row r="17" spans="1:14" s="21" customFormat="1" ht="25.5" customHeight="1" x14ac:dyDescent="0.25">
      <c r="A17" s="60">
        <v>15</v>
      </c>
      <c r="B17" s="88" t="s">
        <v>97</v>
      </c>
      <c r="C17" s="60"/>
      <c r="D17" s="60"/>
      <c r="E17" s="59"/>
      <c r="F17" s="60"/>
      <c r="G17" s="60"/>
      <c r="H17" s="83"/>
      <c r="I17" s="90"/>
      <c r="J17" s="49"/>
      <c r="K17" s="49"/>
      <c r="L17" s="104"/>
      <c r="M17" s="92"/>
      <c r="N17" s="110"/>
    </row>
    <row r="18" spans="1:14" s="21" customFormat="1" ht="25.5" customHeight="1" x14ac:dyDescent="0.25">
      <c r="A18" s="60">
        <v>16</v>
      </c>
      <c r="B18" s="88" t="s">
        <v>98</v>
      </c>
      <c r="C18" s="60">
        <f>825+30</f>
        <v>855</v>
      </c>
      <c r="D18" s="60">
        <v>1140</v>
      </c>
      <c r="E18" s="59">
        <f t="shared" si="0"/>
        <v>75</v>
      </c>
      <c r="F18" s="60">
        <f t="shared" si="1"/>
        <v>342</v>
      </c>
      <c r="G18" s="60">
        <v>270</v>
      </c>
      <c r="H18" s="83">
        <f t="shared" si="2"/>
        <v>2</v>
      </c>
      <c r="I18" s="91" t="s">
        <v>133</v>
      </c>
      <c r="J18" s="49">
        <v>14</v>
      </c>
      <c r="K18" s="49">
        <f t="shared" si="3"/>
        <v>15</v>
      </c>
      <c r="L18" s="104">
        <v>5</v>
      </c>
      <c r="M18" s="92">
        <f t="shared" si="4"/>
        <v>33.333333333333329</v>
      </c>
      <c r="N18" s="110">
        <f t="shared" si="5"/>
        <v>4</v>
      </c>
    </row>
    <row r="19" spans="1:14" s="21" customFormat="1" ht="25.5" customHeight="1" x14ac:dyDescent="0.25">
      <c r="A19" s="60">
        <v>17</v>
      </c>
      <c r="B19" s="88" t="s">
        <v>130</v>
      </c>
      <c r="C19" s="59">
        <f>825+30</f>
        <v>855</v>
      </c>
      <c r="D19" s="59">
        <v>1140</v>
      </c>
      <c r="E19" s="59">
        <f t="shared" si="0"/>
        <v>75</v>
      </c>
      <c r="F19" s="60">
        <f t="shared" si="1"/>
        <v>342</v>
      </c>
      <c r="G19" s="60">
        <v>270</v>
      </c>
      <c r="H19" s="83">
        <f t="shared" si="2"/>
        <v>2</v>
      </c>
      <c r="I19" s="91" t="s">
        <v>131</v>
      </c>
      <c r="J19" s="49">
        <v>14</v>
      </c>
      <c r="K19" s="49">
        <f t="shared" si="3"/>
        <v>15</v>
      </c>
      <c r="L19" s="104">
        <v>5</v>
      </c>
      <c r="M19" s="92">
        <f t="shared" si="4"/>
        <v>33.333333333333329</v>
      </c>
      <c r="N19" s="110">
        <f t="shared" si="5"/>
        <v>4</v>
      </c>
    </row>
    <row r="20" spans="1:14" s="21" customFormat="1" ht="25.5" customHeight="1" x14ac:dyDescent="0.25">
      <c r="A20" s="60">
        <v>18</v>
      </c>
      <c r="B20" s="88" t="s">
        <v>100</v>
      </c>
      <c r="C20" s="60">
        <f>825+30</f>
        <v>855</v>
      </c>
      <c r="D20" s="60">
        <v>1140</v>
      </c>
      <c r="E20" s="59">
        <f t="shared" si="0"/>
        <v>75</v>
      </c>
      <c r="F20" s="60">
        <f t="shared" si="1"/>
        <v>342</v>
      </c>
      <c r="G20" s="60">
        <v>270</v>
      </c>
      <c r="H20" s="83">
        <f t="shared" si="2"/>
        <v>2</v>
      </c>
      <c r="I20" s="91" t="s">
        <v>118</v>
      </c>
      <c r="J20" s="49">
        <v>14</v>
      </c>
      <c r="K20" s="49">
        <f t="shared" si="3"/>
        <v>15</v>
      </c>
      <c r="L20" s="104">
        <v>5</v>
      </c>
      <c r="M20" s="92">
        <f t="shared" si="4"/>
        <v>33.333333333333329</v>
      </c>
      <c r="N20" s="110">
        <f t="shared" si="5"/>
        <v>4</v>
      </c>
    </row>
    <row r="21" spans="1:14" s="21" customFormat="1" ht="25.5" customHeight="1" x14ac:dyDescent="0.25">
      <c r="A21" s="60">
        <v>19</v>
      </c>
      <c r="B21" s="88" t="s">
        <v>101</v>
      </c>
      <c r="C21" s="60">
        <f>825+30</f>
        <v>855</v>
      </c>
      <c r="D21" s="60">
        <v>1140</v>
      </c>
      <c r="E21" s="59">
        <f t="shared" si="0"/>
        <v>75</v>
      </c>
      <c r="F21" s="60">
        <f t="shared" si="1"/>
        <v>342</v>
      </c>
      <c r="G21" s="60">
        <v>270</v>
      </c>
      <c r="H21" s="83">
        <f t="shared" si="2"/>
        <v>2</v>
      </c>
      <c r="I21" s="91" t="s">
        <v>132</v>
      </c>
      <c r="J21" s="49">
        <v>13</v>
      </c>
      <c r="K21" s="49">
        <f t="shared" si="3"/>
        <v>14</v>
      </c>
      <c r="L21" s="104">
        <v>5</v>
      </c>
      <c r="M21" s="92">
        <f t="shared" si="4"/>
        <v>35.714285714285715</v>
      </c>
      <c r="N21" s="110">
        <f t="shared" si="5"/>
        <v>4</v>
      </c>
    </row>
    <row r="22" spans="1:14" s="21" customFormat="1" ht="25.5" customHeight="1" x14ac:dyDescent="0.25">
      <c r="A22" s="60">
        <v>20</v>
      </c>
      <c r="B22" s="88" t="s">
        <v>102</v>
      </c>
      <c r="C22" s="60">
        <v>817</v>
      </c>
      <c r="D22" s="60">
        <v>1125</v>
      </c>
      <c r="E22" s="59">
        <f t="shared" si="0"/>
        <v>72.599999999999994</v>
      </c>
      <c r="F22" s="60">
        <f t="shared" si="1"/>
        <v>326.8</v>
      </c>
      <c r="G22" s="60">
        <v>270</v>
      </c>
      <c r="H22" s="83">
        <f t="shared" si="2"/>
        <v>2</v>
      </c>
      <c r="I22" s="91" t="s">
        <v>134</v>
      </c>
      <c r="J22" s="49">
        <v>10</v>
      </c>
      <c r="K22" s="49">
        <f t="shared" si="3"/>
        <v>11</v>
      </c>
      <c r="L22" s="104">
        <v>4</v>
      </c>
      <c r="M22" s="92">
        <f t="shared" si="4"/>
        <v>36.363636363636367</v>
      </c>
      <c r="N22" s="110">
        <f t="shared" si="5"/>
        <v>3</v>
      </c>
    </row>
    <row r="23" spans="1:14" s="21" customFormat="1" ht="25.5" customHeight="1" x14ac:dyDescent="0.25">
      <c r="A23" s="60">
        <v>21</v>
      </c>
      <c r="B23" s="88" t="s">
        <v>103</v>
      </c>
      <c r="C23" s="60">
        <v>851</v>
      </c>
      <c r="D23" s="60">
        <v>1140</v>
      </c>
      <c r="E23" s="59">
        <f t="shared" si="0"/>
        <v>74.599999999999994</v>
      </c>
      <c r="F23" s="60">
        <f t="shared" si="1"/>
        <v>340.40000000000003</v>
      </c>
      <c r="G23" s="60">
        <v>270</v>
      </c>
      <c r="H23" s="83">
        <f t="shared" si="2"/>
        <v>2</v>
      </c>
      <c r="I23" s="91" t="s">
        <v>135</v>
      </c>
      <c r="J23" s="49">
        <v>11</v>
      </c>
      <c r="K23" s="49">
        <f t="shared" si="3"/>
        <v>12</v>
      </c>
      <c r="L23" s="104">
        <v>4</v>
      </c>
      <c r="M23" s="92">
        <f t="shared" si="4"/>
        <v>33.333333333333329</v>
      </c>
      <c r="N23" s="110">
        <f t="shared" si="5"/>
        <v>3</v>
      </c>
    </row>
    <row r="24" spans="1:14" s="21" customFormat="1" ht="25.5" customHeight="1" x14ac:dyDescent="0.25">
      <c r="A24" s="60">
        <v>22</v>
      </c>
      <c r="B24" s="88" t="s">
        <v>136</v>
      </c>
      <c r="C24" s="60">
        <v>819</v>
      </c>
      <c r="D24" s="60">
        <v>1125</v>
      </c>
      <c r="E24" s="59">
        <f t="shared" si="0"/>
        <v>72.8</v>
      </c>
      <c r="F24" s="60">
        <f t="shared" si="1"/>
        <v>327.60000000000002</v>
      </c>
      <c r="G24" s="60">
        <v>270</v>
      </c>
      <c r="H24" s="83">
        <f t="shared" si="2"/>
        <v>2</v>
      </c>
      <c r="I24" s="91" t="s">
        <v>137</v>
      </c>
      <c r="J24" s="49">
        <v>11</v>
      </c>
      <c r="K24" s="49">
        <f t="shared" si="3"/>
        <v>12</v>
      </c>
      <c r="L24" s="104">
        <v>4</v>
      </c>
      <c r="M24" s="92">
        <f t="shared" si="4"/>
        <v>33.333333333333329</v>
      </c>
      <c r="N24" s="110">
        <f t="shared" si="5"/>
        <v>3</v>
      </c>
    </row>
    <row r="25" spans="1:14" s="21" customFormat="1" ht="25.5" customHeight="1" x14ac:dyDescent="0.25">
      <c r="A25" s="60">
        <v>23</v>
      </c>
      <c r="B25" s="88" t="s">
        <v>105</v>
      </c>
      <c r="C25" s="60">
        <f>630+22</f>
        <v>652</v>
      </c>
      <c r="D25" s="60">
        <v>1050</v>
      </c>
      <c r="E25" s="59">
        <f t="shared" si="0"/>
        <v>62.1</v>
      </c>
      <c r="F25" s="60">
        <f t="shared" si="1"/>
        <v>260.8</v>
      </c>
      <c r="G25" s="60">
        <v>270</v>
      </c>
      <c r="H25" s="83">
        <f t="shared" si="2"/>
        <v>0</v>
      </c>
      <c r="I25" s="89" t="s">
        <v>48</v>
      </c>
      <c r="J25" s="49">
        <v>4</v>
      </c>
      <c r="K25" s="49">
        <f t="shared" si="3"/>
        <v>5</v>
      </c>
      <c r="L25" s="104">
        <v>2</v>
      </c>
      <c r="M25" s="92">
        <f t="shared" si="4"/>
        <v>40</v>
      </c>
      <c r="N25" s="110">
        <f t="shared" si="5"/>
        <v>1</v>
      </c>
    </row>
    <row r="26" spans="1:14" s="21" customFormat="1" ht="25.5" customHeight="1" x14ac:dyDescent="0.25">
      <c r="A26" s="60">
        <v>24</v>
      </c>
      <c r="B26" s="88" t="s">
        <v>106</v>
      </c>
      <c r="C26" s="59">
        <v>740</v>
      </c>
      <c r="D26" s="59">
        <v>1080</v>
      </c>
      <c r="E26" s="59">
        <f t="shared" si="0"/>
        <v>68.5</v>
      </c>
      <c r="F26" s="60">
        <f t="shared" si="1"/>
        <v>296</v>
      </c>
      <c r="G26" s="60">
        <v>270</v>
      </c>
      <c r="H26" s="83">
        <f t="shared" si="2"/>
        <v>1</v>
      </c>
      <c r="I26" s="89" t="s">
        <v>138</v>
      </c>
      <c r="J26" s="49">
        <v>7</v>
      </c>
      <c r="K26" s="49">
        <f t="shared" si="3"/>
        <v>8</v>
      </c>
      <c r="L26" s="104">
        <v>3</v>
      </c>
      <c r="M26" s="92">
        <f t="shared" si="4"/>
        <v>37.5</v>
      </c>
      <c r="N26" s="110">
        <f t="shared" si="5"/>
        <v>2</v>
      </c>
    </row>
    <row r="27" spans="1:14" s="21" customFormat="1" ht="25.5" customHeight="1" x14ac:dyDescent="0.25">
      <c r="A27" s="60">
        <v>25</v>
      </c>
      <c r="B27" s="88" t="s">
        <v>107</v>
      </c>
      <c r="C27" s="59">
        <f>645+24</f>
        <v>669</v>
      </c>
      <c r="D27" s="59">
        <v>1050</v>
      </c>
      <c r="E27" s="59">
        <f t="shared" si="0"/>
        <v>63.7</v>
      </c>
      <c r="F27" s="60">
        <f t="shared" si="1"/>
        <v>267.60000000000002</v>
      </c>
      <c r="G27" s="60">
        <v>270</v>
      </c>
      <c r="H27" s="83">
        <f t="shared" si="2"/>
        <v>0</v>
      </c>
      <c r="I27" s="89" t="s">
        <v>127</v>
      </c>
      <c r="J27" s="49">
        <v>8</v>
      </c>
      <c r="K27" s="49">
        <f t="shared" si="3"/>
        <v>9</v>
      </c>
      <c r="L27" s="104">
        <v>3</v>
      </c>
      <c r="M27" s="92">
        <f t="shared" si="4"/>
        <v>33.333333333333329</v>
      </c>
      <c r="N27" s="110">
        <f t="shared" si="5"/>
        <v>2</v>
      </c>
    </row>
    <row r="28" spans="1:14" s="21" customFormat="1" ht="25.5" customHeight="1" x14ac:dyDescent="0.25">
      <c r="A28" s="60">
        <v>26</v>
      </c>
      <c r="B28" s="88" t="s">
        <v>108</v>
      </c>
      <c r="C28" s="60">
        <f>615+22</f>
        <v>637</v>
      </c>
      <c r="D28" s="60">
        <v>1035</v>
      </c>
      <c r="E28" s="59">
        <f t="shared" si="0"/>
        <v>61.5</v>
      </c>
      <c r="F28" s="60">
        <f t="shared" si="1"/>
        <v>254.8</v>
      </c>
      <c r="G28" s="60">
        <v>270</v>
      </c>
      <c r="H28" s="83">
        <f t="shared" si="2"/>
        <v>-1</v>
      </c>
      <c r="I28" s="89" t="s">
        <v>35</v>
      </c>
      <c r="J28" s="49">
        <v>5</v>
      </c>
      <c r="K28" s="49">
        <f t="shared" si="3"/>
        <v>6</v>
      </c>
      <c r="L28" s="104">
        <v>2</v>
      </c>
      <c r="M28" s="92">
        <f t="shared" si="4"/>
        <v>33.333333333333329</v>
      </c>
      <c r="N28" s="110">
        <f t="shared" si="5"/>
        <v>1</v>
      </c>
    </row>
    <row r="29" spans="1:14" s="21" customFormat="1" ht="25.5" customHeight="1" x14ac:dyDescent="0.25">
      <c r="A29" s="60">
        <v>27</v>
      </c>
      <c r="B29" s="88" t="s">
        <v>109</v>
      </c>
      <c r="C29" s="60">
        <f>825+20</f>
        <v>845</v>
      </c>
      <c r="D29" s="60">
        <v>1140</v>
      </c>
      <c r="E29" s="59">
        <f t="shared" si="0"/>
        <v>74.099999999999994</v>
      </c>
      <c r="F29" s="60">
        <f t="shared" si="1"/>
        <v>338</v>
      </c>
      <c r="G29" s="60">
        <v>270</v>
      </c>
      <c r="H29" s="83">
        <f t="shared" si="2"/>
        <v>2</v>
      </c>
      <c r="I29" s="89" t="s">
        <v>126</v>
      </c>
      <c r="J29" s="49">
        <v>7</v>
      </c>
      <c r="K29" s="49">
        <f t="shared" si="3"/>
        <v>8</v>
      </c>
      <c r="L29" s="104">
        <v>3</v>
      </c>
      <c r="M29" s="92">
        <f t="shared" si="4"/>
        <v>37.5</v>
      </c>
      <c r="N29" s="110">
        <f t="shared" si="5"/>
        <v>2</v>
      </c>
    </row>
    <row r="30" spans="1:14" s="21" customFormat="1" ht="25.5" customHeight="1" x14ac:dyDescent="0.25">
      <c r="A30" s="141" t="s">
        <v>65</v>
      </c>
      <c r="B30" s="141"/>
      <c r="C30" s="71" t="s">
        <v>143</v>
      </c>
      <c r="D30" s="98"/>
      <c r="E30" s="48"/>
      <c r="F30" s="63"/>
      <c r="G30" s="63"/>
      <c r="H30" s="65">
        <f>COUNT(H3:H29)</f>
        <v>21</v>
      </c>
      <c r="I30" s="56"/>
      <c r="J30" s="49"/>
      <c r="K30" s="67" t="s">
        <v>155</v>
      </c>
      <c r="L30" s="48"/>
      <c r="M30" s="48"/>
      <c r="N30" s="147"/>
    </row>
    <row r="31" spans="1:14" s="4" customFormat="1" ht="18.75" hidden="1" customHeight="1" x14ac:dyDescent="0.25">
      <c r="B31" s="9"/>
      <c r="C31" s="95"/>
      <c r="D31" s="95"/>
      <c r="E31" s="95"/>
      <c r="F31" s="95"/>
      <c r="G31" s="95"/>
      <c r="H31" s="96"/>
      <c r="I31" s="97"/>
      <c r="J31" s="5"/>
      <c r="K31" s="5"/>
    </row>
    <row r="32" spans="1:14" s="4" customFormat="1" ht="18.75" hidden="1" customHeight="1" x14ac:dyDescent="0.25">
      <c r="B32" s="9"/>
      <c r="C32" s="36"/>
      <c r="D32" s="36"/>
      <c r="E32" s="36"/>
      <c r="F32" s="34"/>
      <c r="G32" s="34"/>
      <c r="H32" s="35"/>
      <c r="I32" s="6"/>
      <c r="J32" s="5"/>
      <c r="K32" s="5"/>
    </row>
    <row r="33" spans="2:11" s="4" customFormat="1" ht="18.75" hidden="1" customHeight="1" x14ac:dyDescent="0.25">
      <c r="B33" s="13" t="s">
        <v>76</v>
      </c>
      <c r="C33" s="34"/>
      <c r="D33" s="34"/>
      <c r="E33" s="34"/>
      <c r="F33" s="34"/>
      <c r="G33" s="34"/>
      <c r="H33" s="35"/>
      <c r="I33" s="6"/>
      <c r="J33" s="5"/>
      <c r="K33" s="5"/>
    </row>
    <row r="34" spans="2:11" s="4" customFormat="1" ht="18.75" hidden="1" customHeight="1" x14ac:dyDescent="0.25">
      <c r="B34" s="22" t="s">
        <v>74</v>
      </c>
      <c r="C34" s="36"/>
      <c r="D34" s="36"/>
      <c r="E34" s="36"/>
      <c r="F34" s="34"/>
      <c r="G34" s="34"/>
      <c r="H34" s="35"/>
      <c r="I34" s="6"/>
      <c r="J34" s="5"/>
      <c r="K34" s="5"/>
    </row>
    <row r="35" spans="2:11" s="4" customFormat="1" ht="18.75" hidden="1" customHeight="1" x14ac:dyDescent="0.25">
      <c r="B35" s="22" t="s">
        <v>75</v>
      </c>
      <c r="C35" s="43" t="s">
        <v>66</v>
      </c>
      <c r="D35" s="45"/>
      <c r="E35" s="44" t="s">
        <v>72</v>
      </c>
      <c r="F35" s="46"/>
      <c r="G35" s="46"/>
      <c r="H35" s="46"/>
      <c r="I35" s="7"/>
      <c r="J35" s="5"/>
      <c r="K35" s="5"/>
    </row>
    <row r="36" spans="2:11" s="4" customFormat="1" ht="11.25" hidden="1" customHeight="1" x14ac:dyDescent="0.25">
      <c r="B36" s="12"/>
      <c r="C36" s="37"/>
      <c r="D36" s="37"/>
      <c r="E36" s="37"/>
      <c r="F36" s="37"/>
      <c r="G36" s="37"/>
      <c r="H36" s="37"/>
      <c r="I36" s="5"/>
      <c r="J36" s="5"/>
      <c r="K36" s="5"/>
    </row>
    <row r="37" spans="2:11" s="4" customFormat="1" ht="18.75" hidden="1" customHeight="1" x14ac:dyDescent="0.25">
      <c r="B37" s="13" t="s">
        <v>82</v>
      </c>
      <c r="C37" s="37"/>
      <c r="D37" s="37"/>
      <c r="E37" s="37"/>
      <c r="F37" s="37"/>
      <c r="G37" s="37"/>
      <c r="H37" s="37"/>
      <c r="I37" s="5"/>
      <c r="J37" s="5"/>
      <c r="K37" s="5"/>
    </row>
    <row r="38" spans="2:11" s="4" customFormat="1" ht="20.25" hidden="1" customHeight="1" x14ac:dyDescent="0.25">
      <c r="B38" s="10" t="s">
        <v>83</v>
      </c>
      <c r="C38" s="38"/>
      <c r="D38" s="38"/>
      <c r="E38" s="38"/>
      <c r="F38" s="38"/>
      <c r="G38" s="39">
        <v>1</v>
      </c>
      <c r="H38" s="38"/>
      <c r="I38" s="55" t="s">
        <v>80</v>
      </c>
      <c r="J38" s="5"/>
      <c r="K38" s="5"/>
    </row>
    <row r="39" spans="2:11" ht="20.25" hidden="1" customHeight="1" x14ac:dyDescent="0.25">
      <c r="G39" s="41">
        <v>1</v>
      </c>
      <c r="I39" s="55" t="s">
        <v>81</v>
      </c>
    </row>
    <row r="40" spans="2:11" ht="18.75" hidden="1" customHeight="1" x14ac:dyDescent="0.25"/>
    <row r="41" spans="2:11" ht="12" customHeight="1" x14ac:dyDescent="0.25"/>
    <row r="42" spans="2:11" ht="18.75" hidden="1" customHeight="1" x14ac:dyDescent="0.3">
      <c r="B42" s="94" t="s">
        <v>144</v>
      </c>
    </row>
    <row r="43" spans="2:11" ht="18.75" customHeight="1" x14ac:dyDescent="0.25"/>
    <row r="44" spans="2:11" ht="18.75" customHeight="1" x14ac:dyDescent="0.25"/>
    <row r="45" spans="2:11" ht="18.75" customHeight="1" x14ac:dyDescent="0.25"/>
    <row r="46" spans="2:11" ht="18.75" customHeight="1" x14ac:dyDescent="0.25"/>
    <row r="47" spans="2:11" ht="18.75" customHeight="1" x14ac:dyDescent="0.25"/>
    <row r="48" spans="2:11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</sheetData>
  <mergeCells count="2">
    <mergeCell ref="A30:B30"/>
    <mergeCell ref="A1:N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04"/>
  <sheetViews>
    <sheetView zoomScale="115" zoomScaleNormal="115" workbookViewId="0">
      <selection activeCell="N2" sqref="N2:N4"/>
    </sheetView>
  </sheetViews>
  <sheetFormatPr defaultRowHeight="15" x14ac:dyDescent="0.25"/>
  <cols>
    <col min="1" max="1" width="3.5703125" style="2" customWidth="1"/>
    <col min="2" max="2" width="30" style="2" customWidth="1"/>
    <col min="3" max="6" width="10.7109375" style="40" hidden="1" customWidth="1"/>
    <col min="7" max="7" width="10.7109375" style="42" hidden="1" customWidth="1"/>
    <col min="8" max="8" width="10.7109375" style="40" hidden="1" customWidth="1"/>
    <col min="9" max="10" width="20.85546875" style="3" hidden="1" customWidth="1"/>
    <col min="11" max="11" width="17.85546875" style="3" customWidth="1"/>
    <col min="12" max="12" width="20.85546875" style="2" customWidth="1"/>
    <col min="13" max="13" width="20.85546875" style="2" hidden="1" customWidth="1"/>
    <col min="14" max="14" width="28.5703125" style="2" customWidth="1"/>
    <col min="15" max="16384" width="9.140625" style="2"/>
  </cols>
  <sheetData>
    <row r="1" spans="1:14" s="1" customFormat="1" ht="45.75" customHeight="1" x14ac:dyDescent="0.25">
      <c r="A1" s="144" t="s">
        <v>169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4" s="21" customFormat="1" ht="57" customHeight="1" x14ac:dyDescent="0.25">
      <c r="A2" s="101" t="s">
        <v>110</v>
      </c>
      <c r="B2" s="19" t="s">
        <v>27</v>
      </c>
      <c r="C2" s="19" t="s">
        <v>111</v>
      </c>
      <c r="D2" s="19" t="s">
        <v>28</v>
      </c>
      <c r="E2" s="19" t="s">
        <v>112</v>
      </c>
      <c r="F2" s="20" t="s">
        <v>29</v>
      </c>
      <c r="G2" s="20" t="s">
        <v>30</v>
      </c>
      <c r="H2" s="72" t="s">
        <v>31</v>
      </c>
      <c r="I2" s="75" t="s">
        <v>147</v>
      </c>
      <c r="J2" s="19" t="s">
        <v>148</v>
      </c>
      <c r="K2" s="19" t="s">
        <v>150</v>
      </c>
      <c r="L2" s="19" t="s">
        <v>151</v>
      </c>
      <c r="M2" s="19" t="s">
        <v>145</v>
      </c>
      <c r="N2" s="111" t="s">
        <v>152</v>
      </c>
    </row>
    <row r="3" spans="1:14" s="21" customFormat="1" ht="25.5" customHeight="1" x14ac:dyDescent="0.25">
      <c r="A3" s="60">
        <v>1</v>
      </c>
      <c r="B3" s="88" t="s">
        <v>96</v>
      </c>
      <c r="C3" s="60">
        <f>675+16</f>
        <v>691</v>
      </c>
      <c r="D3" s="60">
        <v>1065</v>
      </c>
      <c r="E3" s="59">
        <f t="shared" ref="E3" si="0">ROUND(C3*100/D3,1)</f>
        <v>64.900000000000006</v>
      </c>
      <c r="F3" s="60">
        <f t="shared" ref="F3" si="1">C3*0.4</f>
        <v>276.40000000000003</v>
      </c>
      <c r="G3" s="60">
        <v>270</v>
      </c>
      <c r="H3" s="83">
        <f t="shared" ref="H3" si="2">ROUND((F3-G3)/30,0)</f>
        <v>0</v>
      </c>
      <c r="I3" s="89" t="s">
        <v>35</v>
      </c>
      <c r="J3" s="49">
        <v>7</v>
      </c>
      <c r="K3" s="49">
        <f t="shared" ref="K3" si="3">J3+1</f>
        <v>8</v>
      </c>
      <c r="L3" s="104">
        <v>3</v>
      </c>
      <c r="M3" s="92">
        <f t="shared" ref="M3" si="4">(L3/K3)*100</f>
        <v>37.5</v>
      </c>
      <c r="N3" s="110">
        <f t="shared" ref="N3" si="5">L3-1</f>
        <v>2</v>
      </c>
    </row>
    <row r="4" spans="1:14" s="21" customFormat="1" ht="25.5" customHeight="1" x14ac:dyDescent="0.25">
      <c r="A4" s="141" t="s">
        <v>65</v>
      </c>
      <c r="B4" s="141"/>
      <c r="C4" s="71" t="s">
        <v>143</v>
      </c>
      <c r="D4" s="98"/>
      <c r="E4" s="48"/>
      <c r="F4" s="63"/>
      <c r="G4" s="63"/>
      <c r="H4" s="65">
        <f>COUNT(H3:H3)</f>
        <v>1</v>
      </c>
      <c r="I4" s="56"/>
      <c r="J4" s="49"/>
      <c r="K4" s="67" t="s">
        <v>170</v>
      </c>
      <c r="L4" s="48"/>
      <c r="M4" s="48"/>
      <c r="N4" s="147"/>
    </row>
    <row r="5" spans="1:14" s="4" customFormat="1" ht="18.75" hidden="1" customHeight="1" x14ac:dyDescent="0.25">
      <c r="B5" s="9"/>
      <c r="C5" s="95"/>
      <c r="D5" s="95"/>
      <c r="E5" s="95"/>
      <c r="F5" s="95"/>
      <c r="G5" s="95"/>
      <c r="H5" s="96"/>
      <c r="I5" s="97"/>
      <c r="J5" s="5"/>
      <c r="K5" s="5"/>
    </row>
    <row r="6" spans="1:14" s="4" customFormat="1" ht="18.75" hidden="1" customHeight="1" x14ac:dyDescent="0.25">
      <c r="B6" s="9"/>
      <c r="C6" s="36"/>
      <c r="D6" s="36"/>
      <c r="E6" s="36"/>
      <c r="F6" s="34"/>
      <c r="G6" s="34"/>
      <c r="H6" s="35"/>
      <c r="I6" s="6"/>
      <c r="J6" s="5"/>
      <c r="K6" s="5"/>
    </row>
    <row r="7" spans="1:14" s="4" customFormat="1" ht="18.75" hidden="1" customHeight="1" x14ac:dyDescent="0.25">
      <c r="B7" s="13" t="s">
        <v>76</v>
      </c>
      <c r="C7" s="34"/>
      <c r="D7" s="34"/>
      <c r="E7" s="34"/>
      <c r="F7" s="34"/>
      <c r="G7" s="34"/>
      <c r="H7" s="35"/>
      <c r="I7" s="6"/>
      <c r="J7" s="5"/>
      <c r="K7" s="5"/>
    </row>
    <row r="8" spans="1:14" s="4" customFormat="1" ht="18.75" hidden="1" customHeight="1" x14ac:dyDescent="0.25">
      <c r="B8" s="22" t="s">
        <v>74</v>
      </c>
      <c r="C8" s="36"/>
      <c r="D8" s="36"/>
      <c r="E8" s="36"/>
      <c r="F8" s="34"/>
      <c r="G8" s="34"/>
      <c r="H8" s="35"/>
      <c r="I8" s="6"/>
      <c r="J8" s="5"/>
      <c r="K8" s="5"/>
    </row>
    <row r="9" spans="1:14" s="4" customFormat="1" ht="18.75" hidden="1" customHeight="1" x14ac:dyDescent="0.25">
      <c r="B9" s="22" t="s">
        <v>75</v>
      </c>
      <c r="C9" s="43" t="s">
        <v>66</v>
      </c>
      <c r="D9" s="45"/>
      <c r="E9" s="44" t="s">
        <v>72</v>
      </c>
      <c r="F9" s="46"/>
      <c r="G9" s="46"/>
      <c r="H9" s="46"/>
      <c r="I9" s="7"/>
      <c r="J9" s="5"/>
      <c r="K9" s="5"/>
    </row>
    <row r="10" spans="1:14" s="4" customFormat="1" ht="11.25" hidden="1" customHeight="1" x14ac:dyDescent="0.25">
      <c r="B10" s="12"/>
      <c r="C10" s="37"/>
      <c r="D10" s="37"/>
      <c r="E10" s="37"/>
      <c r="F10" s="37"/>
      <c r="G10" s="37"/>
      <c r="H10" s="37"/>
      <c r="I10" s="5"/>
      <c r="J10" s="5"/>
      <c r="K10" s="5"/>
    </row>
    <row r="11" spans="1:14" s="4" customFormat="1" ht="18.75" hidden="1" customHeight="1" x14ac:dyDescent="0.25">
      <c r="B11" s="13" t="s">
        <v>82</v>
      </c>
      <c r="C11" s="37"/>
      <c r="D11" s="37"/>
      <c r="E11" s="37"/>
      <c r="F11" s="37"/>
      <c r="G11" s="37"/>
      <c r="H11" s="37"/>
      <c r="I11" s="5"/>
      <c r="J11" s="5"/>
      <c r="K11" s="5"/>
    </row>
    <row r="12" spans="1:14" s="4" customFormat="1" ht="20.25" hidden="1" customHeight="1" x14ac:dyDescent="0.25">
      <c r="B12" s="10" t="s">
        <v>83</v>
      </c>
      <c r="C12" s="38"/>
      <c r="D12" s="38"/>
      <c r="E12" s="38"/>
      <c r="F12" s="38"/>
      <c r="G12" s="39">
        <v>1</v>
      </c>
      <c r="H12" s="38"/>
      <c r="I12" s="55" t="s">
        <v>80</v>
      </c>
      <c r="J12" s="5"/>
      <c r="K12" s="5"/>
    </row>
    <row r="13" spans="1:14" ht="20.25" hidden="1" customHeight="1" x14ac:dyDescent="0.25">
      <c r="G13" s="41">
        <v>1</v>
      </c>
      <c r="I13" s="55" t="s">
        <v>81</v>
      </c>
    </row>
    <row r="14" spans="1:14" ht="18.75" hidden="1" customHeight="1" x14ac:dyDescent="0.25"/>
    <row r="15" spans="1:14" ht="12" customHeight="1" x14ac:dyDescent="0.25"/>
    <row r="16" spans="1:14" ht="18.75" hidden="1" customHeight="1" x14ac:dyDescent="0.3">
      <c r="B16" s="94" t="s">
        <v>144</v>
      </c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</sheetData>
  <mergeCells count="2">
    <mergeCell ref="A1:N1"/>
    <mergeCell ref="A4:B4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X109"/>
  <sheetViews>
    <sheetView tabSelected="1" zoomScale="115" zoomScaleNormal="115" workbookViewId="0">
      <selection activeCell="Q2" sqref="Q2:Q10"/>
    </sheetView>
  </sheetViews>
  <sheetFormatPr defaultRowHeight="15" x14ac:dyDescent="0.25"/>
  <cols>
    <col min="1" max="1" width="3.5703125" style="2" customWidth="1"/>
    <col min="2" max="2" width="27.7109375" style="2" customWidth="1"/>
    <col min="3" max="3" width="9.42578125" style="2" hidden="1" customWidth="1"/>
    <col min="4" max="4" width="9.28515625" style="2" hidden="1" customWidth="1"/>
    <col min="5" max="5" width="12" style="2" hidden="1" customWidth="1"/>
    <col min="6" max="6" width="11.28515625" style="2" hidden="1" customWidth="1"/>
    <col min="7" max="7" width="10.42578125" style="2" hidden="1" customWidth="1"/>
    <col min="8" max="8" width="14.85546875" style="2" hidden="1" customWidth="1"/>
    <col min="9" max="9" width="16.140625" style="3" hidden="1" customWidth="1"/>
    <col min="10" max="10" width="10.28515625" style="2" hidden="1" customWidth="1"/>
    <col min="11" max="11" width="10" style="2" hidden="1" customWidth="1"/>
    <col min="12" max="12" width="15.28515625" style="2" hidden="1" customWidth="1"/>
    <col min="13" max="13" width="11.42578125" style="2" hidden="1" customWidth="1"/>
    <col min="14" max="14" width="10.5703125" style="2" hidden="1" customWidth="1"/>
    <col min="15" max="15" width="15.140625" style="2" hidden="1" customWidth="1"/>
    <col min="16" max="17" width="34" style="2" customWidth="1"/>
    <col min="18" max="18" width="11.28515625" style="2" hidden="1" customWidth="1"/>
    <col min="19" max="16384" width="9.140625" style="2"/>
  </cols>
  <sheetData>
    <row r="1" spans="1:18" s="1" customFormat="1" ht="54.75" customHeight="1" x14ac:dyDescent="0.25">
      <c r="A1" s="144" t="s">
        <v>173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02"/>
    </row>
    <row r="2" spans="1:18" s="21" customFormat="1" ht="57.75" customHeight="1" x14ac:dyDescent="0.25">
      <c r="A2" s="105" t="s">
        <v>110</v>
      </c>
      <c r="B2" s="19" t="s">
        <v>27</v>
      </c>
      <c r="C2" s="19" t="s">
        <v>157</v>
      </c>
      <c r="D2" s="19" t="s">
        <v>158</v>
      </c>
      <c r="E2" s="19" t="s">
        <v>159</v>
      </c>
      <c r="F2" s="20" t="s">
        <v>160</v>
      </c>
      <c r="G2" s="20" t="s">
        <v>161</v>
      </c>
      <c r="H2" s="72" t="s">
        <v>162</v>
      </c>
      <c r="I2" s="75"/>
      <c r="J2" s="19" t="s">
        <v>157</v>
      </c>
      <c r="K2" s="19" t="s">
        <v>158</v>
      </c>
      <c r="L2" s="19" t="s">
        <v>159</v>
      </c>
      <c r="M2" s="20" t="s">
        <v>160</v>
      </c>
      <c r="N2" s="20" t="s">
        <v>161</v>
      </c>
      <c r="O2" s="72" t="s">
        <v>162</v>
      </c>
      <c r="P2" s="19" t="s">
        <v>150</v>
      </c>
      <c r="Q2" s="111" t="s">
        <v>151</v>
      </c>
      <c r="R2" s="19" t="s">
        <v>145</v>
      </c>
    </row>
    <row r="3" spans="1:18" s="21" customFormat="1" ht="25.5" customHeight="1" x14ac:dyDescent="0.25">
      <c r="A3" s="49">
        <v>1</v>
      </c>
      <c r="B3" s="51" t="s">
        <v>86</v>
      </c>
      <c r="C3" s="56">
        <v>930</v>
      </c>
      <c r="D3" s="56">
        <v>521</v>
      </c>
      <c r="E3" s="49">
        <f t="shared" ref="E3:E7" si="0">ROUND(D3*100/C3,1)</f>
        <v>56</v>
      </c>
      <c r="F3" s="49">
        <f t="shared" ref="F3:F7" si="1">D3*0.4</f>
        <v>208.4</v>
      </c>
      <c r="G3" s="49">
        <v>270</v>
      </c>
      <c r="H3" s="73">
        <f t="shared" ref="H3:H9" si="2">ROUND((F3-G3)/30,0)</f>
        <v>-2</v>
      </c>
      <c r="I3" s="76"/>
      <c r="J3" s="56">
        <v>750</v>
      </c>
      <c r="K3" s="56">
        <v>483</v>
      </c>
      <c r="L3" s="49">
        <f t="shared" ref="L3:L7" si="3">ROUND(K3*100/J3,1)</f>
        <v>64.400000000000006</v>
      </c>
      <c r="M3" s="49">
        <f t="shared" ref="M3:M7" si="4">K3*0.4</f>
        <v>193.20000000000002</v>
      </c>
      <c r="N3" s="49">
        <v>270</v>
      </c>
      <c r="O3" s="73">
        <f>IF(ROUND((M3-N3)/30,0)&lt;0,0,ROUND((M3-N3)/30,0))</f>
        <v>0</v>
      </c>
      <c r="P3" s="49">
        <v>7</v>
      </c>
      <c r="Q3" s="148">
        <v>3</v>
      </c>
      <c r="R3" s="92">
        <f t="shared" ref="R3:R9" si="5">(Q3/P3)*100</f>
        <v>42.857142857142854</v>
      </c>
    </row>
    <row r="4" spans="1:18" s="21" customFormat="1" ht="25.5" customHeight="1" x14ac:dyDescent="0.25">
      <c r="A4" s="49">
        <v>2</v>
      </c>
      <c r="B4" s="51" t="s">
        <v>89</v>
      </c>
      <c r="C4" s="49">
        <v>915</v>
      </c>
      <c r="D4" s="49">
        <v>491</v>
      </c>
      <c r="E4" s="49">
        <f t="shared" si="0"/>
        <v>53.7</v>
      </c>
      <c r="F4" s="49">
        <f t="shared" si="1"/>
        <v>196.4</v>
      </c>
      <c r="G4" s="49">
        <v>270</v>
      </c>
      <c r="H4" s="73">
        <f t="shared" si="2"/>
        <v>-2</v>
      </c>
      <c r="I4" s="76"/>
      <c r="J4" s="49">
        <v>735</v>
      </c>
      <c r="K4" s="49">
        <v>453</v>
      </c>
      <c r="L4" s="49">
        <f t="shared" si="3"/>
        <v>61.6</v>
      </c>
      <c r="M4" s="49">
        <f t="shared" si="4"/>
        <v>181.20000000000002</v>
      </c>
      <c r="N4" s="49">
        <v>270</v>
      </c>
      <c r="O4" s="73">
        <f t="shared" ref="O4:O9" si="6">IF(ROUND((M4-N4)/30,0)&lt;0,0,ROUND((M4-N4)/30,0))</f>
        <v>0</v>
      </c>
      <c r="P4" s="49">
        <v>5</v>
      </c>
      <c r="Q4" s="148">
        <v>2</v>
      </c>
      <c r="R4" s="92">
        <f t="shared" si="5"/>
        <v>40</v>
      </c>
    </row>
    <row r="5" spans="1:18" s="21" customFormat="1" ht="25.5" customHeight="1" x14ac:dyDescent="0.25">
      <c r="A5" s="49">
        <v>3</v>
      </c>
      <c r="B5" s="51" t="s">
        <v>116</v>
      </c>
      <c r="C5" s="49">
        <v>930</v>
      </c>
      <c r="D5" s="49">
        <v>506</v>
      </c>
      <c r="E5" s="49">
        <f t="shared" si="0"/>
        <v>54.4</v>
      </c>
      <c r="F5" s="49">
        <f t="shared" si="1"/>
        <v>202.4</v>
      </c>
      <c r="G5" s="49">
        <v>270</v>
      </c>
      <c r="H5" s="73">
        <f t="shared" si="2"/>
        <v>-2</v>
      </c>
      <c r="I5" s="76"/>
      <c r="J5" s="49">
        <v>750</v>
      </c>
      <c r="K5" s="49">
        <v>468</v>
      </c>
      <c r="L5" s="49">
        <f t="shared" si="3"/>
        <v>62.4</v>
      </c>
      <c r="M5" s="49">
        <f t="shared" si="4"/>
        <v>187.20000000000002</v>
      </c>
      <c r="N5" s="49">
        <v>270</v>
      </c>
      <c r="O5" s="73">
        <f t="shared" si="6"/>
        <v>0</v>
      </c>
      <c r="P5" s="49">
        <v>5</v>
      </c>
      <c r="Q5" s="148">
        <v>2</v>
      </c>
      <c r="R5" s="92">
        <f t="shared" si="5"/>
        <v>40</v>
      </c>
    </row>
    <row r="6" spans="1:18" s="21" customFormat="1" ht="25.5" customHeight="1" x14ac:dyDescent="0.25">
      <c r="A6" s="49">
        <v>4</v>
      </c>
      <c r="B6" s="51" t="s">
        <v>96</v>
      </c>
      <c r="C6" s="49">
        <v>915</v>
      </c>
      <c r="D6" s="49">
        <v>491</v>
      </c>
      <c r="E6" s="49">
        <f t="shared" si="0"/>
        <v>53.7</v>
      </c>
      <c r="F6" s="49">
        <f t="shared" si="1"/>
        <v>196.4</v>
      </c>
      <c r="G6" s="49">
        <v>270</v>
      </c>
      <c r="H6" s="73">
        <f t="shared" si="2"/>
        <v>-2</v>
      </c>
      <c r="I6" s="76"/>
      <c r="J6" s="49">
        <v>735</v>
      </c>
      <c r="K6" s="49">
        <v>453</v>
      </c>
      <c r="L6" s="49">
        <f t="shared" si="3"/>
        <v>61.6</v>
      </c>
      <c r="M6" s="49">
        <f t="shared" si="4"/>
        <v>181.20000000000002</v>
      </c>
      <c r="N6" s="49">
        <v>270</v>
      </c>
      <c r="O6" s="73">
        <f t="shared" si="6"/>
        <v>0</v>
      </c>
      <c r="P6" s="49">
        <v>5</v>
      </c>
      <c r="Q6" s="148">
        <v>2</v>
      </c>
      <c r="R6" s="92">
        <f t="shared" si="5"/>
        <v>40</v>
      </c>
    </row>
    <row r="7" spans="1:18" s="21" customFormat="1" ht="25.5" customHeight="1" x14ac:dyDescent="0.25">
      <c r="A7" s="49">
        <v>5</v>
      </c>
      <c r="B7" s="51" t="s">
        <v>98</v>
      </c>
      <c r="C7" s="49">
        <v>1035</v>
      </c>
      <c r="D7" s="49">
        <v>737</v>
      </c>
      <c r="E7" s="49">
        <f t="shared" si="0"/>
        <v>71.2</v>
      </c>
      <c r="F7" s="49">
        <f t="shared" si="1"/>
        <v>294.8</v>
      </c>
      <c r="G7" s="49">
        <v>270</v>
      </c>
      <c r="H7" s="73">
        <f t="shared" si="2"/>
        <v>1</v>
      </c>
      <c r="I7" s="78"/>
      <c r="J7" s="49">
        <v>855</v>
      </c>
      <c r="K7" s="49">
        <v>699</v>
      </c>
      <c r="L7" s="49">
        <f t="shared" si="3"/>
        <v>81.8</v>
      </c>
      <c r="M7" s="49">
        <f t="shared" si="4"/>
        <v>279.60000000000002</v>
      </c>
      <c r="N7" s="49">
        <v>270</v>
      </c>
      <c r="O7" s="73">
        <f t="shared" si="6"/>
        <v>0</v>
      </c>
      <c r="P7" s="49">
        <v>12</v>
      </c>
      <c r="Q7" s="148">
        <v>4</v>
      </c>
      <c r="R7" s="92">
        <f t="shared" si="5"/>
        <v>33.333333333333329</v>
      </c>
    </row>
    <row r="8" spans="1:18" s="21" customFormat="1" ht="25.5" customHeight="1" x14ac:dyDescent="0.25">
      <c r="A8" s="49">
        <v>6</v>
      </c>
      <c r="B8" s="51" t="s">
        <v>105</v>
      </c>
      <c r="C8" s="56">
        <v>915</v>
      </c>
      <c r="D8" s="56">
        <v>487</v>
      </c>
      <c r="E8" s="52">
        <f>ROUND(D8*100/C8,1)</f>
        <v>53.2</v>
      </c>
      <c r="F8" s="49">
        <f>D8*0.4</f>
        <v>194.8</v>
      </c>
      <c r="G8" s="49">
        <v>270</v>
      </c>
      <c r="H8" s="73">
        <f t="shared" si="2"/>
        <v>-3</v>
      </c>
      <c r="I8" s="76"/>
      <c r="J8" s="56">
        <v>735</v>
      </c>
      <c r="K8" s="56">
        <v>449</v>
      </c>
      <c r="L8" s="56">
        <f>ROUND(K8*100/J8,1)</f>
        <v>61.1</v>
      </c>
      <c r="M8" s="49">
        <f>K8*0.4</f>
        <v>179.60000000000002</v>
      </c>
      <c r="N8" s="49">
        <v>270</v>
      </c>
      <c r="O8" s="73">
        <f t="shared" si="6"/>
        <v>0</v>
      </c>
      <c r="P8" s="49">
        <v>4</v>
      </c>
      <c r="Q8" s="148">
        <v>2</v>
      </c>
      <c r="R8" s="92">
        <f t="shared" si="5"/>
        <v>50</v>
      </c>
    </row>
    <row r="9" spans="1:18" s="21" customFormat="1" ht="25.5" customHeight="1" x14ac:dyDescent="0.25">
      <c r="A9" s="49">
        <v>7</v>
      </c>
      <c r="B9" s="51" t="s">
        <v>109</v>
      </c>
      <c r="C9" s="49">
        <v>975</v>
      </c>
      <c r="D9" s="49">
        <v>611</v>
      </c>
      <c r="E9" s="49">
        <f>ROUND(D9*100/C9,1)</f>
        <v>62.7</v>
      </c>
      <c r="F9" s="49">
        <f>D9*0.4</f>
        <v>244.4</v>
      </c>
      <c r="G9" s="49">
        <v>270</v>
      </c>
      <c r="H9" s="73">
        <f t="shared" si="2"/>
        <v>-1</v>
      </c>
      <c r="I9" s="76"/>
      <c r="J9" s="49">
        <v>795</v>
      </c>
      <c r="K9" s="49">
        <v>573</v>
      </c>
      <c r="L9" s="49">
        <f>ROUND(K9*100/J9,1)</f>
        <v>72.099999999999994</v>
      </c>
      <c r="M9" s="49">
        <f>K9*0.4</f>
        <v>229.20000000000002</v>
      </c>
      <c r="N9" s="49">
        <v>270</v>
      </c>
      <c r="O9" s="73">
        <f t="shared" si="6"/>
        <v>0</v>
      </c>
      <c r="P9" s="49">
        <v>8</v>
      </c>
      <c r="Q9" s="148">
        <v>3</v>
      </c>
      <c r="R9" s="92">
        <f t="shared" si="5"/>
        <v>37.5</v>
      </c>
    </row>
    <row r="10" spans="1:18" s="21" customFormat="1" ht="25.5" customHeight="1" x14ac:dyDescent="0.25">
      <c r="A10" s="141" t="s">
        <v>65</v>
      </c>
      <c r="B10" s="141"/>
      <c r="C10" s="68" t="s">
        <v>163</v>
      </c>
      <c r="D10" s="48"/>
      <c r="E10" s="48"/>
      <c r="F10" s="49"/>
      <c r="G10" s="49"/>
      <c r="H10" s="56">
        <f>COUNT(H3:H9)</f>
        <v>7</v>
      </c>
      <c r="I10" s="49"/>
      <c r="J10" s="68" t="s">
        <v>172</v>
      </c>
      <c r="K10" s="48"/>
      <c r="L10" s="48"/>
      <c r="M10" s="49"/>
      <c r="N10" s="49"/>
      <c r="O10" s="56"/>
      <c r="P10" s="67" t="s">
        <v>174</v>
      </c>
      <c r="Q10" s="147"/>
      <c r="R10" s="48"/>
    </row>
    <row r="11" spans="1:18" s="4" customFormat="1" ht="18.75" hidden="1" customHeight="1" x14ac:dyDescent="0.25">
      <c r="A11" s="26"/>
      <c r="B11" s="26"/>
      <c r="C11" s="7"/>
      <c r="D11" s="7"/>
      <c r="E11" s="7"/>
      <c r="F11" s="7"/>
      <c r="G11" s="7"/>
      <c r="H11" s="7"/>
      <c r="I11" s="7"/>
    </row>
    <row r="12" spans="1:18" s="4" customFormat="1" ht="18.75" hidden="1" customHeight="1" x14ac:dyDescent="0.25">
      <c r="A12" s="26"/>
      <c r="B12" s="26"/>
      <c r="C12" s="7"/>
      <c r="D12" s="7"/>
      <c r="E12" s="7"/>
      <c r="F12" s="7"/>
      <c r="G12" s="7"/>
      <c r="H12" s="7"/>
      <c r="I12" s="7"/>
    </row>
    <row r="13" spans="1:18" s="4" customFormat="1" ht="18.75" hidden="1" customHeight="1" x14ac:dyDescent="0.25">
      <c r="A13" s="26"/>
      <c r="B13" s="80" t="s">
        <v>76</v>
      </c>
      <c r="C13" s="7"/>
      <c r="D13" s="7"/>
      <c r="E13" s="7"/>
      <c r="F13" s="7"/>
      <c r="G13" s="7"/>
      <c r="H13" s="7"/>
      <c r="I13" s="7"/>
    </row>
    <row r="14" spans="1:18" s="4" customFormat="1" ht="18.75" hidden="1" customHeight="1" x14ac:dyDescent="0.25">
      <c r="A14" s="26"/>
      <c r="B14" s="81" t="s">
        <v>74</v>
      </c>
      <c r="C14" s="7"/>
      <c r="D14" s="7"/>
      <c r="E14" s="7"/>
      <c r="F14" s="7"/>
      <c r="G14" s="7"/>
      <c r="H14" s="7"/>
      <c r="I14" s="7"/>
    </row>
    <row r="15" spans="1:18" s="4" customFormat="1" ht="18.75" hidden="1" customHeight="1" x14ac:dyDescent="0.25">
      <c r="A15" s="26"/>
      <c r="B15" s="81" t="s">
        <v>75</v>
      </c>
      <c r="C15" s="7"/>
      <c r="D15" s="7"/>
      <c r="E15" s="7"/>
      <c r="F15" s="7"/>
      <c r="G15" s="7"/>
      <c r="H15" s="7"/>
      <c r="I15" s="7"/>
    </row>
    <row r="16" spans="1:18" s="4" customFormat="1" ht="11.25" hidden="1" customHeight="1" x14ac:dyDescent="0.25">
      <c r="A16" s="26"/>
      <c r="B16" s="7"/>
      <c r="C16" s="7"/>
      <c r="D16" s="7"/>
      <c r="E16" s="18"/>
      <c r="F16" s="7"/>
      <c r="G16" s="7"/>
      <c r="H16" s="7"/>
      <c r="I16" s="7"/>
    </row>
    <row r="17" spans="1:24" s="4" customFormat="1" ht="18.75" hidden="1" customHeight="1" x14ac:dyDescent="0.25">
      <c r="A17" s="26"/>
      <c r="B17" s="80" t="s">
        <v>82</v>
      </c>
      <c r="C17" s="7"/>
      <c r="D17" s="7"/>
      <c r="E17" s="7"/>
      <c r="F17" s="7"/>
      <c r="G17" s="7"/>
      <c r="H17" s="7"/>
      <c r="I17" s="7"/>
    </row>
    <row r="18" spans="1:24" s="4" customFormat="1" ht="20.25" hidden="1" customHeight="1" x14ac:dyDescent="0.25">
      <c r="A18" s="26"/>
      <c r="B18" s="82" t="s">
        <v>83</v>
      </c>
      <c r="C18" s="26"/>
      <c r="D18" s="26"/>
      <c r="E18" s="82"/>
      <c r="F18" s="26"/>
      <c r="G18" s="26"/>
      <c r="H18" s="26"/>
      <c r="I18" s="7"/>
    </row>
    <row r="19" spans="1:24" ht="20.25" hidden="1" customHeight="1" x14ac:dyDescent="0.25"/>
    <row r="20" spans="1:24" ht="18.75" customHeight="1" x14ac:dyDescent="0.25"/>
    <row r="21" spans="1:24" ht="18.75" customHeight="1" x14ac:dyDescent="0.25"/>
    <row r="22" spans="1:24" ht="18.75" customHeight="1" x14ac:dyDescent="0.25"/>
    <row r="23" spans="1:24" ht="18.75" customHeight="1" x14ac:dyDescent="0.25"/>
    <row r="24" spans="1:24" s="17" customFormat="1" ht="18.75" customHeight="1" x14ac:dyDescent="0.25">
      <c r="I24" s="106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</row>
    <row r="25" spans="1:24" ht="18.75" customHeight="1" x14ac:dyDescent="0.25"/>
    <row r="26" spans="1:24" ht="18.75" customHeight="1" x14ac:dyDescent="0.25"/>
    <row r="27" spans="1:24" ht="18.75" customHeight="1" x14ac:dyDescent="0.25"/>
    <row r="28" spans="1:24" ht="18.75" customHeight="1" x14ac:dyDescent="0.25"/>
    <row r="29" spans="1:24" ht="18.75" customHeight="1" x14ac:dyDescent="0.25"/>
    <row r="30" spans="1:24" ht="18.75" customHeight="1" x14ac:dyDescent="0.25"/>
    <row r="31" spans="1:24" ht="18.75" customHeight="1" x14ac:dyDescent="0.25"/>
    <row r="32" spans="1:24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0:B10"/>
    <mergeCell ref="A1:Q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TK-18C1</vt:lpstr>
      <vt:lpstr>3.1-khoa2018-C1</vt:lpstr>
      <vt:lpstr>3.1-khoa2018-C2</vt:lpstr>
      <vt:lpstr>TK-18C2</vt:lpstr>
      <vt:lpstr>TK-18T4</vt:lpstr>
      <vt:lpstr>3.1-khoa2018-T4</vt:lpstr>
      <vt:lpstr>3.1-khoa2018-T2</vt:lpstr>
      <vt:lpstr>TK-18T2</vt:lpstr>
      <vt:lpstr>3.7-khoa2018-C1</vt:lpstr>
      <vt:lpstr>3.7-khoa2018-T4</vt:lpstr>
      <vt:lpstr>3.7-khoa2018-T2</vt:lpstr>
      <vt:lpstr>3.7-khoa2018-C2</vt:lpstr>
      <vt:lpstr>'TK-18C1'!Print_Titles</vt:lpstr>
      <vt:lpstr>'TK-18T4'!Print_Titles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2019-11-06T05:07:27Z</cp:lastPrinted>
  <dcterms:created xsi:type="dcterms:W3CDTF">2019-10-08T01:03:30Z</dcterms:created>
  <dcterms:modified xsi:type="dcterms:W3CDTF">2019-11-08T00:45:55Z</dcterms:modified>
</cp:coreProperties>
</file>